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trlProps/ctrlProp5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H:\KURZINFO WESENBERG\BWL-RECHNER\"/>
    </mc:Choice>
  </mc:AlternateContent>
  <xr:revisionPtr revIDLastSave="0" documentId="13_ncr:1_{15BA928D-E864-4B90-B724-2B6F46596DC5}" xr6:coauthVersionLast="47" xr6:coauthVersionMax="47" xr10:uidLastSave="{00000000-0000-0000-0000-000000000000}"/>
  <workbookProtection workbookPassword="EAAE" lockStructure="1"/>
  <bookViews>
    <workbookView xWindow="28680" yWindow="-120" windowWidth="29040" windowHeight="15840" tabRatio="769" activeTab="5" xr2:uid="{00000000-000D-0000-FFFF-FFFF00000000}"/>
  </bookViews>
  <sheets>
    <sheet name="Maschinen" sheetId="1" r:id="rId1"/>
    <sheet name="Personal" sheetId="2" r:id="rId2"/>
    <sheet name="Geschäftskosten" sheetId="3" r:id="rId3"/>
    <sheet name="Gesamtergebnis" sheetId="4" r:id="rId4"/>
    <sheet name="Soz.-Vers.-Beiträge" sheetId="5" r:id="rId5"/>
    <sheet name="Ausdruck" sheetId="6" r:id="rId6"/>
  </sheets>
  <definedNames>
    <definedName name="_xlnm.Print_Area" localSheetId="5">Ausdruck!$B$1:$G$21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6" l="1"/>
  <c r="B7" i="6"/>
  <c r="B6" i="6"/>
  <c r="O22" i="4"/>
  <c r="G5" i="3"/>
  <c r="H5" i="3" s="1"/>
  <c r="G28" i="5"/>
  <c r="E9" i="3"/>
  <c r="G9" i="3" s="1"/>
  <c r="H9" i="3" s="1"/>
  <c r="B10" i="2"/>
  <c r="C8" i="6" l="1"/>
  <c r="C4" i="6"/>
  <c r="D2" i="6"/>
  <c r="B4" i="6"/>
  <c r="B5" i="6"/>
  <c r="C5" i="6" s="1"/>
  <c r="G12" i="6"/>
  <c r="G18" i="6"/>
  <c r="E1" i="6"/>
  <c r="C9" i="5"/>
  <c r="C15" i="5"/>
  <c r="C23" i="5"/>
  <c r="E7" i="2" s="1"/>
  <c r="E10" i="2" s="1"/>
  <c r="G15" i="5"/>
  <c r="G8" i="5"/>
  <c r="F1" i="4"/>
  <c r="B22" i="4" s="1"/>
  <c r="B1" i="4"/>
  <c r="B28" i="4"/>
  <c r="F9" i="4"/>
  <c r="F10" i="4" s="1"/>
  <c r="V16" i="1"/>
  <c r="B7" i="4" s="1"/>
  <c r="N5" i="2"/>
  <c r="N4" i="2"/>
  <c r="G20" i="3"/>
  <c r="H22" i="3" s="1"/>
  <c r="C14" i="4" s="1"/>
  <c r="C24" i="2"/>
  <c r="C19" i="2"/>
  <c r="C14" i="2"/>
  <c r="C18" i="2" s="1"/>
  <c r="D24" i="2"/>
  <c r="E24" i="2"/>
  <c r="V12" i="1"/>
  <c r="B3" i="4" s="1"/>
  <c r="B7" i="1"/>
  <c r="B8" i="1" s="1"/>
  <c r="V13" i="1"/>
  <c r="B4" i="4" s="1"/>
  <c r="V14" i="1"/>
  <c r="B5" i="4" s="1"/>
  <c r="V15" i="1"/>
  <c r="B6" i="4" s="1"/>
  <c r="H10" i="1"/>
  <c r="F10" i="6" s="1"/>
  <c r="F20" i="6" s="1"/>
  <c r="D11" i="1"/>
  <c r="E11" i="1"/>
  <c r="E24" i="1"/>
  <c r="E30" i="1" s="1"/>
  <c r="E17" i="1"/>
  <c r="E19" i="1"/>
  <c r="G11" i="1"/>
  <c r="H11" i="1"/>
  <c r="H24" i="1"/>
  <c r="H17" i="1"/>
  <c r="H19" i="1"/>
  <c r="J11" i="1"/>
  <c r="K11" i="1"/>
  <c r="K24" i="1"/>
  <c r="K30" i="1" s="1"/>
  <c r="K17" i="1"/>
  <c r="K19" i="1"/>
  <c r="M11" i="1"/>
  <c r="N11" i="1"/>
  <c r="N24" i="1"/>
  <c r="N28" i="1" s="1"/>
  <c r="N17" i="1"/>
  <c r="N19" i="1"/>
  <c r="Q35" i="1"/>
  <c r="R35" i="1"/>
  <c r="Q32" i="1"/>
  <c r="K36" i="1"/>
  <c r="N36" i="1"/>
  <c r="Q36" i="1"/>
  <c r="P11" i="1"/>
  <c r="Q11" i="1"/>
  <c r="H19" i="3"/>
  <c r="H18" i="3"/>
  <c r="H17" i="3"/>
  <c r="H16" i="3"/>
  <c r="H15" i="3"/>
  <c r="H14" i="3"/>
  <c r="H13" i="3"/>
  <c r="H12" i="3"/>
  <c r="H11" i="3"/>
  <c r="H10" i="3"/>
  <c r="H8" i="3"/>
  <c r="H7" i="3"/>
  <c r="H6" i="3"/>
  <c r="H4" i="3"/>
  <c r="H3" i="3"/>
  <c r="D10" i="1"/>
  <c r="Q19" i="1"/>
  <c r="T18" i="1"/>
  <c r="Q17" i="1"/>
  <c r="Q24" i="1"/>
  <c r="Q30" i="1" s="1"/>
  <c r="C34" i="1"/>
  <c r="C33" i="1" s="1"/>
  <c r="F34" i="1"/>
  <c r="F33" i="1" s="1"/>
  <c r="I34" i="1"/>
  <c r="I33" i="1" s="1"/>
  <c r="L34" i="1"/>
  <c r="L33" i="1" s="1"/>
  <c r="O34" i="1"/>
  <c r="O33" i="1" s="1"/>
  <c r="Q34" i="1"/>
  <c r="R34" i="1"/>
  <c r="R33" i="1" s="1"/>
  <c r="Q33" i="1"/>
  <c r="P22" i="1"/>
  <c r="P25" i="1" s="1"/>
  <c r="M22" i="1"/>
  <c r="M25" i="1" s="1"/>
  <c r="J22" i="1"/>
  <c r="J27" i="1" s="1"/>
  <c r="G22" i="1"/>
  <c r="G27" i="1" s="1"/>
  <c r="D22" i="1"/>
  <c r="T13" i="1"/>
  <c r="S22" i="1" s="1"/>
  <c r="S27" i="1" s="1"/>
  <c r="T20" i="1"/>
  <c r="T16" i="1"/>
  <c r="G7" i="6" s="1"/>
  <c r="T15" i="1"/>
  <c r="G6" i="6" s="1"/>
  <c r="T14" i="1"/>
  <c r="G5" i="6" s="1"/>
  <c r="H7" i="1"/>
  <c r="I4" i="1"/>
  <c r="H4" i="1"/>
  <c r="D19" i="2"/>
  <c r="D14" i="2"/>
  <c r="D18" i="2" s="1"/>
  <c r="E19" i="2"/>
  <c r="E14" i="2"/>
  <c r="E18" i="2" s="1"/>
  <c r="D1" i="2"/>
  <c r="F21" i="6" l="1"/>
  <c r="D4" i="6"/>
  <c r="D27" i="1"/>
  <c r="E8" i="2"/>
  <c r="E9" i="2" s="1"/>
  <c r="E20" i="2" s="1"/>
  <c r="E21" i="2" s="1"/>
  <c r="E5" i="4"/>
  <c r="G16" i="5"/>
  <c r="N30" i="1"/>
  <c r="D8" i="6"/>
  <c r="C16" i="5"/>
  <c r="C7" i="2" s="1"/>
  <c r="C10" i="2" s="1"/>
  <c r="C8" i="2" s="1"/>
  <c r="M24" i="1"/>
  <c r="D5" i="6"/>
  <c r="M26" i="1"/>
  <c r="M28" i="1"/>
  <c r="M27" i="1"/>
  <c r="K28" i="1"/>
  <c r="L29" i="1"/>
  <c r="N21" i="1"/>
  <c r="E17" i="4"/>
  <c r="D26" i="1"/>
  <c r="D28" i="1"/>
  <c r="E21" i="4"/>
  <c r="A37" i="4"/>
  <c r="J24" i="1"/>
  <c r="J25" i="1"/>
  <c r="B17" i="4"/>
  <c r="B29" i="4"/>
  <c r="B30" i="4" s="1"/>
  <c r="B33" i="4" s="1"/>
  <c r="B34" i="4" s="1"/>
  <c r="B35" i="4" s="1"/>
  <c r="B36" i="4" s="1"/>
  <c r="B37" i="4" s="1"/>
  <c r="G17" i="6"/>
  <c r="H28" i="4"/>
  <c r="F8" i="1"/>
  <c r="C2" i="6"/>
  <c r="K21" i="1"/>
  <c r="H21" i="1"/>
  <c r="E28" i="1"/>
  <c r="T17" i="1"/>
  <c r="C10" i="4"/>
  <c r="D10" i="4"/>
  <c r="E10" i="4"/>
  <c r="E21" i="1"/>
  <c r="T19" i="1"/>
  <c r="F11" i="6"/>
  <c r="Q39" i="1"/>
  <c r="Q38" i="1"/>
  <c r="P32" i="1"/>
  <c r="S32" i="1"/>
  <c r="G32" i="1"/>
  <c r="D32" i="1"/>
  <c r="M32" i="1"/>
  <c r="Q21" i="1"/>
  <c r="Q31" i="1" s="1"/>
  <c r="H28" i="1"/>
  <c r="H30" i="1"/>
  <c r="D7" i="2"/>
  <c r="D10" i="2" s="1"/>
  <c r="S26" i="1"/>
  <c r="O29" i="1"/>
  <c r="P24" i="1"/>
  <c r="G25" i="1"/>
  <c r="C29" i="1"/>
  <c r="D24" i="1"/>
  <c r="T22" i="1"/>
  <c r="G24" i="1"/>
  <c r="P26" i="1"/>
  <c r="Q28" i="1"/>
  <c r="I29" i="1"/>
  <c r="J26" i="1"/>
  <c r="S24" i="1"/>
  <c r="P27" i="1"/>
  <c r="P28" i="1"/>
  <c r="J28" i="1"/>
  <c r="S25" i="1"/>
  <c r="D25" i="1"/>
  <c r="G26" i="1"/>
  <c r="S28" i="1"/>
  <c r="G28" i="1"/>
  <c r="F29" i="1"/>
  <c r="J32" i="1"/>
  <c r="E23" i="2" l="1"/>
  <c r="D8" i="2"/>
  <c r="D9" i="2" s="1"/>
  <c r="D20" i="2" s="1"/>
  <c r="D23" i="2" s="1"/>
  <c r="C9" i="2"/>
  <c r="C20" i="2" s="1"/>
  <c r="E4" i="4"/>
  <c r="E3" i="4"/>
  <c r="C28" i="4"/>
  <c r="D17" i="4"/>
  <c r="H36" i="4" s="1"/>
  <c r="B31" i="4"/>
  <c r="B32" i="4" s="1"/>
  <c r="N31" i="1"/>
  <c r="N32" i="1" s="1"/>
  <c r="K31" i="1"/>
  <c r="K32" i="1" s="1"/>
  <c r="T26" i="1"/>
  <c r="T27" i="1"/>
  <c r="E28" i="4"/>
  <c r="F28" i="4"/>
  <c r="D28" i="4"/>
  <c r="M28" i="4"/>
  <c r="I28" i="4"/>
  <c r="J28" i="4"/>
  <c r="F18" i="4"/>
  <c r="K28" i="4"/>
  <c r="L28" i="4"/>
  <c r="G28" i="4"/>
  <c r="T21" i="1"/>
  <c r="T28" i="1"/>
  <c r="E31" i="1"/>
  <c r="E32" i="1" s="1"/>
  <c r="J34" i="1"/>
  <c r="J35" i="1" s="1"/>
  <c r="J33" i="1"/>
  <c r="G33" i="1"/>
  <c r="G34" i="1"/>
  <c r="G35" i="1" s="1"/>
  <c r="S34" i="1"/>
  <c r="S33" i="1"/>
  <c r="T24" i="1"/>
  <c r="H31" i="1"/>
  <c r="H32" i="1" s="1"/>
  <c r="T30" i="1"/>
  <c r="M34" i="1"/>
  <c r="M35" i="1" s="1"/>
  <c r="M33" i="1"/>
  <c r="P33" i="1"/>
  <c r="P34" i="1"/>
  <c r="P35" i="1" s="1"/>
  <c r="S35" i="1" s="1"/>
  <c r="T25" i="1"/>
  <c r="D34" i="1"/>
  <c r="D33" i="1"/>
  <c r="N33" i="1" l="1"/>
  <c r="N38" i="1"/>
  <c r="K34" i="1"/>
  <c r="K38" i="1"/>
  <c r="F36" i="4"/>
  <c r="K36" i="4"/>
  <c r="C36" i="4"/>
  <c r="G36" i="4"/>
  <c r="L36" i="4"/>
  <c r="D36" i="4"/>
  <c r="I36" i="4"/>
  <c r="M36" i="4"/>
  <c r="E36" i="4"/>
  <c r="J36" i="4"/>
  <c r="H38" i="1"/>
  <c r="N34" i="1"/>
  <c r="N35" i="1"/>
  <c r="N39" i="1"/>
  <c r="K35" i="1"/>
  <c r="K39" i="1"/>
  <c r="K33" i="1"/>
  <c r="D21" i="2"/>
  <c r="E33" i="1"/>
  <c r="E38" i="1"/>
  <c r="H39" i="1"/>
  <c r="H35" i="1"/>
  <c r="H36" i="1" s="1"/>
  <c r="H34" i="1"/>
  <c r="H33" i="1"/>
  <c r="T32" i="1"/>
  <c r="I10" i="1" s="1"/>
  <c r="G10" i="6" s="1"/>
  <c r="T31" i="1"/>
  <c r="E34" i="1"/>
  <c r="E39" i="1"/>
  <c r="E35" i="1"/>
  <c r="C23" i="2"/>
  <c r="C21" i="2"/>
  <c r="D35" i="1"/>
  <c r="T38" i="1" l="1"/>
  <c r="H30" i="4" s="1"/>
  <c r="I30" i="4" s="1"/>
  <c r="G11" i="6"/>
  <c r="T33" i="1"/>
  <c r="T39" i="1"/>
  <c r="H31" i="4" s="1"/>
  <c r="I31" i="4" s="1"/>
  <c r="T34" i="1"/>
  <c r="D11" i="4"/>
  <c r="D13" i="4" s="1"/>
  <c r="C11" i="4"/>
  <c r="E11" i="4"/>
  <c r="E36" i="1"/>
  <c r="T36" i="1" s="1"/>
  <c r="E12" i="4" s="1"/>
  <c r="T35" i="1"/>
  <c r="C12" i="4" s="1"/>
  <c r="D30" i="4" l="1"/>
  <c r="M30" i="4"/>
  <c r="L30" i="4"/>
  <c r="G30" i="4"/>
  <c r="F30" i="4"/>
  <c r="K30" i="4"/>
  <c r="J30" i="4"/>
  <c r="E30" i="4"/>
  <c r="C30" i="4"/>
  <c r="C31" i="4"/>
  <c r="G31" i="4"/>
  <c r="F12" i="4"/>
  <c r="G14" i="6" s="1"/>
  <c r="C13" i="4"/>
  <c r="F31" i="4"/>
  <c r="M31" i="4"/>
  <c r="E31" i="4"/>
  <c r="J31" i="4"/>
  <c r="D31" i="4"/>
  <c r="L31" i="4"/>
  <c r="K31" i="4"/>
  <c r="E13" i="4"/>
  <c r="H32" i="4"/>
  <c r="F11" i="4"/>
  <c r="G15" i="6" s="1"/>
  <c r="G19" i="6" l="1"/>
  <c r="H33" i="4"/>
  <c r="F13" i="4"/>
  <c r="C32" i="4"/>
  <c r="C29" i="4" s="1"/>
  <c r="E32" i="4"/>
  <c r="E29" i="4" s="1"/>
  <c r="G32" i="4"/>
  <c r="G29" i="4" s="1"/>
  <c r="K32" i="4"/>
  <c r="K29" i="4" s="1"/>
  <c r="F32" i="4"/>
  <c r="F29" i="4" s="1"/>
  <c r="I32" i="4"/>
  <c r="I29" i="4" s="1"/>
  <c r="L32" i="4"/>
  <c r="L29" i="4" s="1"/>
  <c r="D32" i="4"/>
  <c r="D29" i="4" s="1"/>
  <c r="J32" i="4"/>
  <c r="J29" i="4" s="1"/>
  <c r="M32" i="4"/>
  <c r="M29" i="4" s="1"/>
  <c r="H29" i="4"/>
  <c r="J33" i="4" l="1"/>
  <c r="E33" i="4"/>
  <c r="M33" i="4"/>
  <c r="L33" i="4"/>
  <c r="G33" i="4"/>
  <c r="C33" i="4"/>
  <c r="I33" i="4"/>
  <c r="D33" i="4"/>
  <c r="K33" i="4"/>
  <c r="F33" i="4"/>
  <c r="F14" i="4"/>
  <c r="F15" i="4"/>
  <c r="F16" i="4" l="1"/>
  <c r="F17" i="4" s="1"/>
  <c r="G20" i="6" s="1"/>
  <c r="G21" i="6" s="1"/>
  <c r="H34" i="4"/>
  <c r="F21" i="4" l="1"/>
  <c r="D21" i="4" s="1"/>
  <c r="H35" i="4"/>
  <c r="G34" i="4"/>
  <c r="I34" i="4"/>
  <c r="F22" i="4"/>
  <c r="A21" i="4" l="1"/>
  <c r="I35" i="4"/>
  <c r="J34" i="4"/>
  <c r="F34" i="4"/>
  <c r="G35" i="4"/>
  <c r="H37" i="4"/>
  <c r="G37" i="4" l="1"/>
  <c r="F35" i="4"/>
  <c r="E34" i="4"/>
  <c r="J35" i="4"/>
  <c r="K34" i="4"/>
  <c r="I37" i="4"/>
  <c r="D34" i="4" l="1"/>
  <c r="E35" i="4"/>
  <c r="F37" i="4"/>
  <c r="L34" i="4"/>
  <c r="K35" i="4"/>
  <c r="J37" i="4"/>
  <c r="K37" i="4" l="1"/>
  <c r="E37" i="4"/>
  <c r="M34" i="4"/>
  <c r="M35" i="4" s="1"/>
  <c r="L35" i="4"/>
  <c r="D35" i="4"/>
  <c r="C34" i="4"/>
  <c r="C35" i="4" s="1"/>
  <c r="D37" i="4" l="1"/>
  <c r="C37" i="4"/>
  <c r="L37" i="4"/>
  <c r="M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Wesenberg</author>
  </authors>
  <commentList>
    <comment ref="A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Anteil von der Anwesenheit des  Mitarbeiters, die dem Kunden in Rechnung gestellt werden kann!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Produktivität:
sehr gering 50 %
mittel  70 %
sehr hoch 90 %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<sst xmlns="http://schemas.openxmlformats.org/spreadsheetml/2006/main" count="466" uniqueCount="205">
  <si>
    <t xml:space="preserve">LU  M a n a g e r </t>
  </si>
  <si>
    <t>Maschinenkostenkalkulation</t>
  </si>
  <si>
    <t>für die Dienstleistung</t>
  </si>
  <si>
    <t>Leistungsdaten</t>
  </si>
  <si>
    <t>Arbeitsbreite</t>
  </si>
  <si>
    <t>m</t>
  </si>
  <si>
    <t>Zeitanteil Vorgewende</t>
  </si>
  <si>
    <t>%</t>
  </si>
  <si>
    <t xml:space="preserve">     </t>
  </si>
  <si>
    <t>Arbeitsgeschwindigkeit</t>
  </si>
  <si>
    <t>km/h</t>
  </si>
  <si>
    <t>Zeitanteil Befüllen / Entladen</t>
  </si>
  <si>
    <t>Flächenleistung theoretisch</t>
  </si>
  <si>
    <t>ha/h</t>
  </si>
  <si>
    <t>"Anteil unproduktive Arbeitszeit"</t>
  </si>
  <si>
    <t>Flächenleistung  tatsächlich</t>
  </si>
  <si>
    <t>entspricht</t>
  </si>
  <si>
    <t>h/ha</t>
  </si>
  <si>
    <t xml:space="preserve">Gesamtkosten Technik pro </t>
  </si>
  <si>
    <t>€ /</t>
  </si>
  <si>
    <t>GESAMTERGEBNIS</t>
  </si>
  <si>
    <t xml:space="preserve">Berechnung nach </t>
  </si>
  <si>
    <t>Stunde</t>
  </si>
  <si>
    <t>Anschaffungspreis A ohne MwSt.</t>
  </si>
  <si>
    <t>€</t>
  </si>
  <si>
    <t>Restwert R</t>
  </si>
  <si>
    <t>Nutzungsdauer N</t>
  </si>
  <si>
    <t>Jahre</t>
  </si>
  <si>
    <t>AfA ((A - R) / N)</t>
  </si>
  <si>
    <t>Jahr</t>
  </si>
  <si>
    <t>Zinsanspruch (A/2 + R/2) x %</t>
  </si>
  <si>
    <t>Summe Festkosten pro Jahr</t>
  </si>
  <si>
    <t>Diesel</t>
  </si>
  <si>
    <t>Verbrauch</t>
  </si>
  <si>
    <t>ltr /</t>
  </si>
  <si>
    <t>Preis</t>
  </si>
  <si>
    <t>ltr</t>
  </si>
  <si>
    <t>Kosten</t>
  </si>
  <si>
    <t>Schmiermittel</t>
  </si>
  <si>
    <t>Hilfsstoffe</t>
  </si>
  <si>
    <t>Summe Variable Kosten</t>
  </si>
  <si>
    <t>Jährliche Nutzung</t>
  </si>
  <si>
    <t>Summe Variable Kosten pro Jahr</t>
  </si>
  <si>
    <t>Maschinenkosten gesamt</t>
  </si>
  <si>
    <t>Kosten pro Leistungseinheit</t>
  </si>
  <si>
    <r>
      <t xml:space="preserve">                    - K</t>
    </r>
    <r>
      <rPr>
        <vertAlign val="subscript"/>
        <sz val="12"/>
        <rFont val="Arial"/>
        <family val="2"/>
      </rPr>
      <t>fix</t>
    </r>
  </si>
  <si>
    <r>
      <t xml:space="preserve">                    - K</t>
    </r>
    <r>
      <rPr>
        <vertAlign val="subscript"/>
        <sz val="12"/>
        <rFont val="Arial"/>
        <family val="2"/>
      </rPr>
      <t>var</t>
    </r>
  </si>
  <si>
    <t>oder</t>
  </si>
  <si>
    <r>
      <t>Wegekosten in € / h</t>
    </r>
    <r>
      <rPr>
        <b/>
        <sz val="10"/>
        <rFont val="Arial"/>
        <family val="2"/>
      </rPr>
      <t xml:space="preserve"> (nur Schlepper, selbstf. Arbeitsmaschinen, etc.)</t>
    </r>
  </si>
  <si>
    <t xml:space="preserve">Maschinenkosten in Abhängigkeit </t>
  </si>
  <si>
    <t>SUMME</t>
  </si>
  <si>
    <t>der Fläche</t>
  </si>
  <si>
    <t>der Zeit</t>
  </si>
  <si>
    <t>Personalkostenkalkulation</t>
  </si>
  <si>
    <t>Name des Mitarbeiters</t>
  </si>
  <si>
    <t>Anstellungsverhältnis</t>
  </si>
  <si>
    <t>ständiger Mitarbeiter mit KV-Beitrag</t>
  </si>
  <si>
    <t>Bruttolohn</t>
  </si>
  <si>
    <t>€ / h</t>
  </si>
  <si>
    <t>Std. / Monat (abgerechnet)</t>
  </si>
  <si>
    <t>h</t>
  </si>
  <si>
    <t>Weihnachts- / Urlaubsgeld</t>
  </si>
  <si>
    <t>Summe SV-Beiträge /
Steuerpauschale / U-Abgaben</t>
  </si>
  <si>
    <t>Gesamtkosten des Mitarbeiters pro Monat</t>
  </si>
  <si>
    <t>Berechnung der tatsächlich geleisteten Arbeitszeit für den Betrieb</t>
  </si>
  <si>
    <t>Arbeitstage                                  - in der Woche</t>
  </si>
  <si>
    <t>d</t>
  </si>
  <si>
    <t xml:space="preserve">                                                      - im Jahr</t>
  </si>
  <si>
    <t>Urlaubsanspruch / Jahr</t>
  </si>
  <si>
    <t>Feiertage / Jahr</t>
  </si>
  <si>
    <t>Krankheit, Weiterbildung, Veranstaltungen, etc. / Jahr</t>
  </si>
  <si>
    <t>Anwesenheit im Unternehmen</t>
  </si>
  <si>
    <t>Kosten bei Anwesenheit im Unternehmen</t>
  </si>
  <si>
    <t>rel. zum Bruttolohn je Stunde</t>
  </si>
  <si>
    <t>Produktive Maschinenzeit</t>
  </si>
  <si>
    <t>Kosten der Arbeit für Abrechnung Auftrag</t>
  </si>
  <si>
    <t>Allgemeine Geschäftskosten im Lohnunternehmen</t>
  </si>
  <si>
    <t>€ / Jahr</t>
  </si>
  <si>
    <t>Betriebsleiter</t>
  </si>
  <si>
    <t xml:space="preserve"> - Ziel-Jahreseinkommen (vor Steuer)</t>
  </si>
  <si>
    <t xml:space="preserve"> - Krankenversicherung und Altersvorsorge</t>
  </si>
  <si>
    <t xml:space="preserve"> - Betriebsleitung / Akquisition</t>
  </si>
  <si>
    <t xml:space="preserve"> - Büro / Verwaltung</t>
  </si>
  <si>
    <t xml:space="preserve"> - Werkstatt</t>
  </si>
  <si>
    <t>Aufwendungen Technik</t>
  </si>
  <si>
    <t xml:space="preserve"> - Betriebs-PKW</t>
  </si>
  <si>
    <t>(Faustzahl: 30 ct / km)</t>
  </si>
  <si>
    <t xml:space="preserve"> - Waschplatz / Abscheider</t>
  </si>
  <si>
    <t xml:space="preserve"> - Diesel- u. Öllagerstätten</t>
  </si>
  <si>
    <r>
      <t xml:space="preserve"> - Allg. Werkstattkosten </t>
    </r>
    <r>
      <rPr>
        <sz val="10"/>
        <rFont val="Arial"/>
        <family val="2"/>
      </rPr>
      <t>(ohne Personal)</t>
    </r>
  </si>
  <si>
    <t>Betrieb</t>
  </si>
  <si>
    <t xml:space="preserve"> - Büro u. Verwaltung, Steuerberatung, Telefon, Reisekosten</t>
  </si>
  <si>
    <t xml:space="preserve"> - Aufwendungen für Gebäude (AfA, Rep.)</t>
  </si>
  <si>
    <t xml:space="preserve"> - Allg. Betriebsversicherungen (Haftpflicht, Feuer, Sturm, etc.)</t>
  </si>
  <si>
    <t xml:space="preserve"> - Betriebssteuern (Grund-, Gewerbe-, etc.)</t>
  </si>
  <si>
    <t xml:space="preserve"> - Betriebslasten (Renten, etc.)</t>
  </si>
  <si>
    <t>Summe</t>
  </si>
  <si>
    <t>berechnet pro</t>
  </si>
  <si>
    <t>Arbeitszeit
effektiv</t>
  </si>
  <si>
    <t xml:space="preserve">Rüst- u.
Rep.Zeiten </t>
  </si>
  <si>
    <t>Wegezeiten</t>
  </si>
  <si>
    <t>gesamt</t>
  </si>
  <si>
    <t>rel.</t>
  </si>
  <si>
    <t>Personalkosten</t>
  </si>
  <si>
    <t>Maschinenkosten</t>
  </si>
  <si>
    <t>Zwischensumme</t>
  </si>
  <si>
    <t>Geschäftskosten</t>
  </si>
  <si>
    <t>Risikozuschlag</t>
  </si>
  <si>
    <t>€/ha</t>
  </si>
  <si>
    <t>entspr. Gesamtumsatz</t>
  </si>
  <si>
    <t>€/h</t>
  </si>
  <si>
    <t>Schwellenwert</t>
  </si>
  <si>
    <t>Produktivität</t>
  </si>
  <si>
    <t>Flächenleistung</t>
  </si>
  <si>
    <t xml:space="preserve"> - in Abh. der Flächen</t>
  </si>
  <si>
    <t xml:space="preserve"> - in Abh. der Zeit</t>
  </si>
  <si>
    <t xml:space="preserve"> - rel. Wegekosten</t>
  </si>
  <si>
    <t>Geschäftskosten, Risiko</t>
  </si>
  <si>
    <t>Gesamtkosten Verfahren</t>
  </si>
  <si>
    <t>Arbeitspreis</t>
  </si>
  <si>
    <t xml:space="preserve">  </t>
  </si>
  <si>
    <r>
      <t>Wichtiger Hinweis:</t>
    </r>
    <r>
      <rPr>
        <sz val="14"/>
        <rFont val="Arial"/>
        <family val="2"/>
      </rPr>
      <t xml:space="preserve"> 
Bitte die </t>
    </r>
    <r>
      <rPr>
        <u/>
        <sz val="14"/>
        <rFont val="Arial"/>
        <family val="2"/>
      </rPr>
      <t>hellgelb</t>
    </r>
    <r>
      <rPr>
        <sz val="14"/>
        <rFont val="Arial"/>
        <family val="2"/>
      </rPr>
      <t xml:space="preserve">
gekennzeichneten 
Flächen ausfüllen!</t>
    </r>
  </si>
  <si>
    <t xml:space="preserve">                         </t>
  </si>
  <si>
    <t xml:space="preserve">    </t>
  </si>
  <si>
    <t>Ersatz- u. Verschleissteile / Fremdreparaturen</t>
  </si>
  <si>
    <t>Kalkulatorischer Zins ( EK, FK)</t>
  </si>
  <si>
    <t>Technik</t>
  </si>
  <si>
    <t>Personal</t>
  </si>
  <si>
    <r>
      <t xml:space="preserve">AUFTRAG </t>
    </r>
    <r>
      <rPr>
        <i/>
        <sz val="12"/>
        <rFont val="Arial"/>
        <family val="2"/>
      </rPr>
      <t>verursacht</t>
    </r>
  </si>
  <si>
    <t xml:space="preserve">                   - pro Leist.-einheit</t>
  </si>
  <si>
    <r>
      <t>Kosten</t>
    </r>
    <r>
      <rPr>
        <b/>
        <sz val="12"/>
        <rFont val="Arial"/>
        <family val="2"/>
      </rPr>
      <t xml:space="preserve">     </t>
    </r>
    <r>
      <rPr>
        <b/>
        <sz val="10"/>
        <rFont val="Arial"/>
        <family val="2"/>
      </rPr>
      <t xml:space="preserve">- gesamt </t>
    </r>
  </si>
  <si>
    <r>
      <t>Umsatz</t>
    </r>
    <r>
      <rPr>
        <b/>
        <sz val="12"/>
        <rFont val="Arial"/>
        <family val="2"/>
      </rPr>
      <t xml:space="preserve">  </t>
    </r>
    <r>
      <rPr>
        <b/>
        <sz val="10"/>
        <rFont val="Arial"/>
        <family val="2"/>
      </rPr>
      <t xml:space="preserve">   - Arbeitspreis Fläche</t>
    </r>
  </si>
  <si>
    <t xml:space="preserve">                   - Arbeitspreis Zeit</t>
  </si>
  <si>
    <t xml:space="preserve">                   - Anfahrtpauschale</t>
  </si>
  <si>
    <t xml:space="preserve">   </t>
  </si>
  <si>
    <t>Maschinenversicherung / KFZ-Steuern</t>
  </si>
  <si>
    <t xml:space="preserve">GESAMTERGEBNIS </t>
  </si>
  <si>
    <t>Sozialversicherungsbeiträge</t>
  </si>
  <si>
    <t>Krankenversicherung</t>
  </si>
  <si>
    <t>Rentenversicherung</t>
  </si>
  <si>
    <t>Arbeitslosenversicherung</t>
  </si>
  <si>
    <t>Pflegeversicherung</t>
  </si>
  <si>
    <t xml:space="preserve">Entgeltfortzahlungsversicherung </t>
  </si>
  <si>
    <t xml:space="preserve">U I - Erstattung Aufwendungen bei Arbeitsunfähigkeit </t>
  </si>
  <si>
    <t xml:space="preserve">U II - Erstattung Aufwendungen bei Mutterschaft </t>
  </si>
  <si>
    <t>Insolvenzgeldumlage</t>
  </si>
  <si>
    <t>Anteil Arbeitgeber (100 %)</t>
  </si>
  <si>
    <t>Anteil Arbeitgeber (50 %)</t>
  </si>
  <si>
    <t>Lohnsteuerpauschale</t>
  </si>
  <si>
    <t>Anteil Arbeitgeber (100%)</t>
  </si>
  <si>
    <t xml:space="preserve">1. SV-pflichtiger Mitarbeiter </t>
  </si>
  <si>
    <t>4. kurzfristig beschäftigte Aushilfskraft (Pauschalsteuer 25 %)</t>
  </si>
  <si>
    <r>
      <t xml:space="preserve">Krankenversicherung </t>
    </r>
    <r>
      <rPr>
        <b/>
        <i/>
        <sz val="10"/>
        <rFont val="Arial"/>
        <family val="2"/>
      </rPr>
      <t>gesamt</t>
    </r>
  </si>
  <si>
    <r>
      <t xml:space="preserve">         - davon </t>
    </r>
    <r>
      <rPr>
        <b/>
        <u/>
        <sz val="10"/>
        <rFont val="Arial"/>
        <family val="2"/>
      </rPr>
      <t>Anteil Arbeitgeber</t>
    </r>
  </si>
  <si>
    <t xml:space="preserve">Maschinenkosten </t>
  </si>
  <si>
    <t>Geschäftskostenanteil</t>
  </si>
  <si>
    <t>Risiko</t>
  </si>
  <si>
    <t>Kostenübersicht zur Dienstleistung</t>
  </si>
  <si>
    <t>Kosten pro Stunde</t>
  </si>
  <si>
    <t xml:space="preserve">Kosten pro Tag </t>
  </si>
  <si>
    <t>Tag</t>
  </si>
  <si>
    <t>Arbeitszeit effektiv</t>
  </si>
  <si>
    <t>h /</t>
  </si>
  <si>
    <t xml:space="preserve">Tag </t>
  </si>
  <si>
    <t>Zuschläge</t>
  </si>
  <si>
    <t>Maschinen im Einsatz</t>
  </si>
  <si>
    <r>
      <t xml:space="preserve">Personalkosten </t>
    </r>
    <r>
      <rPr>
        <sz val="8"/>
        <rFont val="Arial"/>
        <family val="2"/>
      </rPr>
      <t>(inkl. Hebenzeiten)</t>
    </r>
  </si>
  <si>
    <r>
      <t>Maschinenkosten</t>
    </r>
    <r>
      <rPr>
        <sz val="8"/>
        <rFont val="Arial"/>
        <family val="2"/>
      </rPr>
      <t xml:space="preserve"> (inkl. Wegezeiten)</t>
    </r>
  </si>
  <si>
    <t>Hektar</t>
  </si>
  <si>
    <t xml:space="preserve">Beitrag zur Unfallversicherung (BG) </t>
  </si>
  <si>
    <t>3. Mitarbeiter mit Niedriglohn (Midi-Job, 451 - 1.300 € / Monat)</t>
  </si>
  <si>
    <t>2. Geringfügig beschäftigte Aushilfskraft (Minijob, max. 450 €)</t>
  </si>
  <si>
    <t xml:space="preserve"> - Beiträge (BLU, IHK, etc.)</t>
  </si>
  <si>
    <t xml:space="preserve"> - Unfallversicherung (% von Bruttolohnsumme)</t>
  </si>
  <si>
    <t>Unternehmer</t>
  </si>
  <si>
    <t xml:space="preserve">Mitarbeiter </t>
  </si>
  <si>
    <t>Risikobeitrag pro Jahr</t>
  </si>
  <si>
    <t>Grundbeitrag pro Jahr</t>
  </si>
  <si>
    <t xml:space="preserve">relativ von der Buttolohnsumme </t>
  </si>
  <si>
    <t xml:space="preserve">Die Kosten der Unfallversicherung gehen aus dem aktuellen Beitragsbescheid der BG hervor. </t>
  </si>
  <si>
    <t xml:space="preserve">a) Der Beitrag für den Unternehmer setzt sich aus Risisko- und Grundbeitrag zusammen. </t>
  </si>
  <si>
    <t xml:space="preserve">    Steuern und Sozialversicherungsbeiträge des Mitarbeiters sind darin enthalten, die Sozialversicherungsanteile des Unternehmens dagegen nicht.</t>
  </si>
  <si>
    <t>b) Die Bruttolohnsumme der Mitarbeiter im Unternehmen ist der Gesamtbetrag des Geldlohnes und der Naturalleistungen eines Betriebes.</t>
  </si>
  <si>
    <t xml:space="preserve"> - Unfallversicherung</t>
  </si>
  <si>
    <t xml:space="preserve">Beitrag zur SVLFG-Unfallversicherung (Berufsgenossenschaft) </t>
  </si>
  <si>
    <t>Mitarbeiter mit Niedriglohn 
(Midi-Job, 451 - 1.300 € / Monat)</t>
  </si>
  <si>
    <t>kurzfristig beschäftigte Aushilfskraft
(Pauschalsteuer 25 %)</t>
  </si>
  <si>
    <t>Geringfügig beschäftigte Aushilfskraft 
(Minijob, 450 €)</t>
  </si>
  <si>
    <t>Mitarbeiter ohne produktive Maschinenzeiten</t>
  </si>
  <si>
    <t>(Jahreslohnsumme inkl. SV-Beiträge)</t>
  </si>
  <si>
    <r>
      <rPr>
        <b/>
        <i/>
        <sz val="16"/>
        <rFont val="Arial"/>
        <family val="2"/>
      </rPr>
      <t>Dr. Martin Wesenberg</t>
    </r>
    <r>
      <rPr>
        <b/>
        <i/>
        <sz val="8"/>
        <rFont val="Arial"/>
        <family val="2"/>
      </rPr>
      <t xml:space="preserve">
Bundesverband Lohnunternehmen e.V.</t>
    </r>
  </si>
  <si>
    <r>
      <rPr>
        <b/>
        <i/>
        <sz val="16"/>
        <rFont val="Arial"/>
        <family val="2"/>
      </rPr>
      <t xml:space="preserve">Dr. Martin Wesenberg
</t>
    </r>
    <r>
      <rPr>
        <b/>
        <i/>
        <sz val="8"/>
        <rFont val="Arial"/>
        <family val="2"/>
      </rPr>
      <t>Bundesverband Lohnunternehmen e.V.</t>
    </r>
  </si>
  <si>
    <t>Jahresumsatz des Lohnunternehmens</t>
  </si>
  <si>
    <t>Geschäftskostenanteil am Umsatz des Unternehmens</t>
  </si>
  <si>
    <t>Æ</t>
  </si>
  <si>
    <t>S</t>
  </si>
  <si>
    <r>
      <t xml:space="preserve">A            </t>
    </r>
    <r>
      <rPr>
        <sz val="8"/>
        <rFont val="Arial"/>
        <family val="2"/>
      </rPr>
      <t>[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€ ]</t>
    </r>
  </si>
  <si>
    <r>
      <t xml:space="preserve">R            </t>
    </r>
    <r>
      <rPr>
        <sz val="8"/>
        <rFont val="Arial"/>
        <family val="2"/>
      </rPr>
      <t>[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€ ]</t>
    </r>
  </si>
  <si>
    <r>
      <t xml:space="preserve">N            </t>
    </r>
    <r>
      <rPr>
        <sz val="8"/>
        <rFont val="Arial"/>
        <family val="2"/>
      </rPr>
      <t>[ a ]</t>
    </r>
  </si>
  <si>
    <t>Pflügen mit Packer</t>
  </si>
  <si>
    <t>Schlepper 130 kW</t>
  </si>
  <si>
    <t>Pflug 5furchig</t>
  </si>
  <si>
    <t>Packer 90</t>
  </si>
  <si>
    <t>Fritz</t>
  </si>
  <si>
    <t xml:space="preserve">Gesamtkosten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</si>
</sst>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%"/>
    <numFmt numFmtId="167" formatCode="_-* #,##0\ _€_-;\-* #,##0\ _€_-;_-* &quot;-&quot;??\ _€_-;_-@_-"/>
  </numFmts>
  <fonts count="72" x14ac:knownFonts="1">
    <font>
      <sz val="10"/>
      <name val="Arial"/>
    </font>
    <font>
      <sz val="10"/>
      <name val="Arial"/>
      <family val="2"/>
    </font>
    <font>
      <b/>
      <sz val="15"/>
      <color indexed="10"/>
      <name val="Arial"/>
      <family val="2"/>
    </font>
    <font>
      <b/>
      <i/>
      <sz val="42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color indexed="13"/>
      <name val="Arial"/>
      <family val="2"/>
    </font>
    <font>
      <b/>
      <sz val="12"/>
      <name val="Arial"/>
      <family val="2"/>
    </font>
    <font>
      <sz val="12"/>
      <color indexed="13"/>
      <name val="Arial"/>
      <family val="2"/>
    </font>
    <font>
      <sz val="12"/>
      <color indexed="23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b/>
      <sz val="8"/>
      <color indexed="13"/>
      <name val="Arial"/>
      <family val="2"/>
    </font>
    <font>
      <sz val="12"/>
      <color indexed="9"/>
      <name val="Arial"/>
      <family val="2"/>
    </font>
    <font>
      <b/>
      <i/>
      <sz val="8"/>
      <name val="Arial"/>
      <family val="2"/>
    </font>
    <font>
      <sz val="10"/>
      <color indexed="13"/>
      <name val="Arial"/>
      <family val="2"/>
    </font>
    <font>
      <b/>
      <sz val="14"/>
      <color indexed="12"/>
      <name val="Arial"/>
      <family val="2"/>
    </font>
    <font>
      <vertAlign val="subscript"/>
      <sz val="12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8"/>
      <name val="Arial"/>
      <family val="2"/>
    </font>
    <font>
      <sz val="14"/>
      <color indexed="18"/>
      <name val="Arial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15"/>
      <name val="Arial"/>
      <family val="2"/>
    </font>
    <font>
      <b/>
      <sz val="16"/>
      <color indexed="9"/>
      <name val="Arial"/>
      <family val="2"/>
    </font>
    <font>
      <b/>
      <i/>
      <sz val="15"/>
      <name val="Arial"/>
      <family val="2"/>
    </font>
    <font>
      <sz val="13"/>
      <name val="Arial"/>
      <family val="2"/>
    </font>
    <font>
      <b/>
      <sz val="8"/>
      <color indexed="81"/>
      <name val="Tahoma"/>
      <family val="2"/>
    </font>
    <font>
      <u/>
      <sz val="12"/>
      <name val="Arial"/>
      <family val="2"/>
    </font>
    <font>
      <u/>
      <sz val="12"/>
      <color indexed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u/>
      <sz val="18"/>
      <color indexed="12"/>
      <name val="Arial"/>
      <family val="2"/>
    </font>
    <font>
      <b/>
      <sz val="10"/>
      <color indexed="1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5"/>
      <color rgb="FFFF0000"/>
      <name val="Arial"/>
      <family val="2"/>
    </font>
    <font>
      <sz val="8"/>
      <color indexed="81"/>
      <name val="Tahoma"/>
      <family val="2"/>
    </font>
    <font>
      <b/>
      <sz val="12"/>
      <color rgb="FFFF0000"/>
      <name val="Arial"/>
      <family val="2"/>
    </font>
    <font>
      <b/>
      <sz val="12"/>
      <color rgb="FF008000"/>
      <name val="Arial"/>
      <family val="2"/>
    </font>
    <font>
      <b/>
      <sz val="12"/>
      <color rgb="FF3366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FF0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color rgb="FFFFFFCC"/>
      <name val="Arial"/>
      <family val="2"/>
    </font>
    <font>
      <sz val="12"/>
      <color rgb="FFFFFFCC"/>
      <name val="Arial"/>
      <family val="2"/>
    </font>
    <font>
      <sz val="14"/>
      <color rgb="FFFFFFCC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  <font>
      <b/>
      <sz val="12"/>
      <color indexed="9"/>
      <name val="Symbol"/>
      <family val="1"/>
      <charset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sz val="5"/>
      <color theme="0"/>
      <name val="Arial"/>
      <family val="2"/>
    </font>
    <font>
      <b/>
      <sz val="5"/>
      <color theme="0"/>
      <name val="Arial"/>
      <family val="2"/>
    </font>
    <font>
      <sz val="10"/>
      <name val="Symbol"/>
      <family val="1"/>
      <charset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lightTrellis">
        <fgColor indexed="9"/>
        <bgColor indexed="11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lightGray">
        <fgColor indexed="11"/>
        <bgColor indexed="42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14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6">
    <xf numFmtId="0" fontId="0" fillId="0" borderId="0" xfId="0"/>
    <xf numFmtId="2" fontId="15" fillId="2" borderId="0" xfId="0" applyNumberFormat="1" applyFont="1" applyFill="1" applyBorder="1" applyAlignment="1" applyProtection="1">
      <alignment vertical="center"/>
      <protection locked="0"/>
    </xf>
    <xf numFmtId="165" fontId="15" fillId="2" borderId="0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Border="1" applyAlignment="1" applyProtection="1">
      <alignment horizontal="right" vertical="center"/>
      <protection locked="0"/>
    </xf>
    <xf numFmtId="10" fontId="7" fillId="2" borderId="0" xfId="0" applyNumberFormat="1" applyFont="1" applyFill="1" applyBorder="1" applyAlignment="1" applyProtection="1">
      <alignment horizontal="right" vertical="center"/>
      <protection locked="0"/>
    </xf>
    <xf numFmtId="3" fontId="7" fillId="2" borderId="0" xfId="0" applyNumberFormat="1" applyFont="1" applyFill="1" applyBorder="1" applyAlignment="1" applyProtection="1">
      <alignment vertical="center"/>
      <protection locked="0"/>
    </xf>
    <xf numFmtId="4" fontId="7" fillId="2" borderId="0" xfId="0" applyNumberFormat="1" applyFont="1" applyFill="1" applyBorder="1" applyAlignment="1" applyProtection="1">
      <alignment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2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164" fontId="7" fillId="2" borderId="0" xfId="1" applyFont="1" applyFill="1" applyBorder="1" applyAlignment="1" applyProtection="1">
      <alignment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5" xfId="0" applyNumberFormat="1" applyFont="1" applyFill="1" applyBorder="1" applyAlignment="1" applyProtection="1">
      <alignment horizontal="center" vertical="center"/>
      <protection locked="0"/>
    </xf>
    <xf numFmtId="2" fontId="7" fillId="2" borderId="6" xfId="0" applyNumberFormat="1" applyFont="1" applyFill="1" applyBorder="1" applyAlignment="1" applyProtection="1">
      <alignment horizontal="center" vertical="center"/>
      <protection locked="0"/>
    </xf>
    <xf numFmtId="2" fontId="7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10" fillId="4" borderId="10" xfId="0" applyFont="1" applyFill="1" applyBorder="1" applyAlignment="1" applyProtection="1">
      <alignment vertical="center"/>
      <protection hidden="1"/>
    </xf>
    <xf numFmtId="0" fontId="10" fillId="4" borderId="0" xfId="0" applyFont="1" applyFill="1" applyBorder="1" applyAlignment="1" applyProtection="1">
      <alignment vertical="center"/>
      <protection hidden="1"/>
    </xf>
    <xf numFmtId="164" fontId="15" fillId="4" borderId="0" xfId="1" applyFont="1" applyFill="1" applyBorder="1" applyAlignment="1" applyProtection="1">
      <alignment horizontal="center" vertical="center"/>
      <protection hidden="1"/>
    </xf>
    <xf numFmtId="164" fontId="10" fillId="4" borderId="0" xfId="1" applyFont="1" applyFill="1" applyBorder="1" applyAlignment="1" applyProtection="1">
      <alignment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4" fillId="3" borderId="9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6" fillId="3" borderId="27" xfId="0" applyFont="1" applyFill="1" applyBorder="1" applyAlignment="1" applyProtection="1">
      <alignment vertical="center"/>
      <protection hidden="1"/>
    </xf>
    <xf numFmtId="0" fontId="0" fillId="3" borderId="14" xfId="0" applyFill="1" applyBorder="1" applyAlignment="1" applyProtection="1">
      <alignment vertical="center"/>
      <protection hidden="1"/>
    </xf>
    <xf numFmtId="0" fontId="38" fillId="3" borderId="14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9" fillId="12" borderId="10" xfId="0" applyFont="1" applyFill="1" applyBorder="1" applyAlignment="1" applyProtection="1">
      <alignment vertical="center"/>
      <protection hidden="1"/>
    </xf>
    <xf numFmtId="0" fontId="10" fillId="12" borderId="0" xfId="0" applyFont="1" applyFill="1" applyBorder="1" applyAlignment="1" applyProtection="1">
      <alignment vertical="center"/>
      <protection hidden="1"/>
    </xf>
    <xf numFmtId="0" fontId="11" fillId="12" borderId="0" xfId="0" applyFont="1" applyFill="1" applyBorder="1" applyAlignment="1" applyProtection="1">
      <alignment vertical="center"/>
      <protection hidden="1"/>
    </xf>
    <xf numFmtId="0" fontId="12" fillId="12" borderId="0" xfId="0" applyFont="1" applyFill="1" applyBorder="1" applyAlignment="1" applyProtection="1">
      <alignment vertical="center"/>
      <protection hidden="1"/>
    </xf>
    <xf numFmtId="0" fontId="15" fillId="8" borderId="10" xfId="0" applyFont="1" applyFill="1" applyBorder="1" applyAlignment="1" applyProtection="1">
      <alignment vertical="center"/>
      <protection hidden="1"/>
    </xf>
    <xf numFmtId="0" fontId="15" fillId="8" borderId="0" xfId="0" applyFont="1" applyFill="1" applyBorder="1" applyAlignment="1" applyProtection="1">
      <alignment vertical="center"/>
      <protection hidden="1"/>
    </xf>
    <xf numFmtId="2" fontId="15" fillId="8" borderId="0" xfId="0" applyNumberFormat="1" applyFont="1" applyFill="1" applyBorder="1" applyAlignment="1" applyProtection="1">
      <alignment vertical="center"/>
      <protection hidden="1"/>
    </xf>
    <xf numFmtId="165" fontId="15" fillId="8" borderId="0" xfId="0" applyNumberFormat="1" applyFont="1" applyFill="1" applyBorder="1" applyAlignment="1" applyProtection="1">
      <alignment vertical="center"/>
      <protection hidden="1"/>
    </xf>
    <xf numFmtId="0" fontId="9" fillId="13" borderId="10" xfId="0" applyFont="1" applyFill="1" applyBorder="1" applyAlignment="1" applyProtection="1">
      <alignment vertical="center"/>
      <protection hidden="1"/>
    </xf>
    <xf numFmtId="2" fontId="9" fillId="13" borderId="0" xfId="0" applyNumberFormat="1" applyFont="1" applyFill="1" applyBorder="1" applyAlignment="1" applyProtection="1">
      <alignment vertical="center"/>
      <protection hidden="1"/>
    </xf>
    <xf numFmtId="0" fontId="9" fillId="13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36" fillId="5" borderId="16" xfId="0" applyFont="1" applyFill="1" applyBorder="1" applyAlignment="1" applyProtection="1">
      <alignment vertical="center"/>
      <protection hidden="1"/>
    </xf>
    <xf numFmtId="0" fontId="17" fillId="5" borderId="17" xfId="0" applyFont="1" applyFill="1" applyBorder="1" applyAlignment="1" applyProtection="1">
      <alignment vertical="center"/>
      <protection hidden="1"/>
    </xf>
    <xf numFmtId="0" fontId="36" fillId="5" borderId="17" xfId="0" applyFont="1" applyFill="1" applyBorder="1" applyAlignment="1" applyProtection="1">
      <alignment horizontal="right" vertical="center"/>
      <protection hidden="1"/>
    </xf>
    <xf numFmtId="0" fontId="36" fillId="5" borderId="17" xfId="0" applyFont="1" applyFill="1" applyBorder="1" applyAlignment="1" applyProtection="1">
      <alignment horizontal="left" vertical="center"/>
      <protection hidden="1"/>
    </xf>
    <xf numFmtId="2" fontId="36" fillId="5" borderId="18" xfId="0" applyNumberFormat="1" applyFont="1" applyFill="1" applyBorder="1" applyAlignment="1" applyProtection="1">
      <alignment vertical="center"/>
      <protection hidden="1"/>
    </xf>
    <xf numFmtId="0" fontId="19" fillId="3" borderId="11" xfId="0" applyFont="1" applyFill="1" applyBorder="1" applyAlignment="1" applyProtection="1">
      <alignment vertical="center"/>
      <protection hidden="1"/>
    </xf>
    <xf numFmtId="0" fontId="19" fillId="3" borderId="12" xfId="0" applyFont="1" applyFill="1" applyBorder="1" applyAlignment="1" applyProtection="1">
      <alignment vertical="center"/>
      <protection hidden="1"/>
    </xf>
    <xf numFmtId="0" fontId="19" fillId="3" borderId="12" xfId="0" applyFont="1" applyFill="1" applyBorder="1" applyAlignment="1" applyProtection="1">
      <alignment horizontal="center"/>
      <protection hidden="1"/>
    </xf>
    <xf numFmtId="0" fontId="7" fillId="6" borderId="9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6" borderId="10" xfId="0" applyFont="1" applyFill="1" applyBorder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7" fillId="4" borderId="10" xfId="0" quotePrefix="1" applyFont="1" applyFill="1" applyBorder="1" applyAlignment="1" applyProtection="1">
      <alignment horizontal="left" vertical="center"/>
      <protection hidden="1"/>
    </xf>
    <xf numFmtId="0" fontId="7" fillId="4" borderId="0" xfId="0" quotePrefix="1" applyFont="1" applyFill="1" applyBorder="1" applyAlignment="1" applyProtection="1">
      <alignment horizontal="left" vertical="center"/>
      <protection hidden="1"/>
    </xf>
    <xf numFmtId="3" fontId="7" fillId="4" borderId="3" xfId="0" applyNumberFormat="1" applyFont="1" applyFill="1" applyBorder="1" applyAlignment="1" applyProtection="1">
      <alignment horizontal="right" vertical="center"/>
      <protection hidden="1"/>
    </xf>
    <xf numFmtId="0" fontId="7" fillId="4" borderId="10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horizontal="right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3" fontId="7" fillId="4" borderId="0" xfId="0" applyNumberFormat="1" applyFont="1" applyFill="1" applyBorder="1" applyAlignment="1" applyProtection="1">
      <alignment vertical="center"/>
      <protection hidden="1"/>
    </xf>
    <xf numFmtId="3" fontId="7" fillId="4" borderId="3" xfId="0" applyNumberFormat="1" applyFont="1" applyFill="1" applyBorder="1" applyAlignment="1" applyProtection="1">
      <alignment vertical="center"/>
      <protection hidden="1"/>
    </xf>
    <xf numFmtId="0" fontId="7" fillId="4" borderId="10" xfId="0" applyFont="1" applyFill="1" applyBorder="1" applyAlignment="1" applyProtection="1">
      <alignment horizontal="left" vertical="center"/>
      <protection hidden="1"/>
    </xf>
    <xf numFmtId="9" fontId="7" fillId="4" borderId="0" xfId="2" applyFont="1" applyFill="1" applyBorder="1" applyAlignment="1" applyProtection="1">
      <alignment horizontal="right" vertical="center"/>
      <protection hidden="1"/>
    </xf>
    <xf numFmtId="9" fontId="7" fillId="4" borderId="0" xfId="2" applyFont="1" applyFill="1" applyBorder="1" applyAlignment="1" applyProtection="1">
      <alignment horizontal="left" vertical="center"/>
      <protection hidden="1"/>
    </xf>
    <xf numFmtId="10" fontId="7" fillId="4" borderId="3" xfId="2" applyNumberFormat="1" applyFont="1" applyFill="1" applyBorder="1" applyAlignment="1" applyProtection="1">
      <alignment vertical="center"/>
      <protection hidden="1"/>
    </xf>
    <xf numFmtId="0" fontId="10" fillId="14" borderId="10" xfId="0" applyFont="1" applyFill="1" applyBorder="1" applyAlignment="1" applyProtection="1">
      <alignment vertical="center"/>
      <protection hidden="1"/>
    </xf>
    <xf numFmtId="0" fontId="10" fillId="14" borderId="0" xfId="0" applyFont="1" applyFill="1" applyBorder="1" applyAlignment="1" applyProtection="1">
      <alignment vertical="center"/>
      <protection hidden="1"/>
    </xf>
    <xf numFmtId="0" fontId="10" fillId="14" borderId="0" xfId="0" applyFont="1" applyFill="1" applyBorder="1" applyAlignment="1" applyProtection="1">
      <alignment horizontal="right" vertical="center"/>
      <protection hidden="1"/>
    </xf>
    <xf numFmtId="3" fontId="10" fillId="14" borderId="0" xfId="0" applyNumberFormat="1" applyFont="1" applyFill="1" applyBorder="1" applyAlignment="1" applyProtection="1">
      <alignment vertical="center"/>
      <protection hidden="1"/>
    </xf>
    <xf numFmtId="3" fontId="10" fillId="14" borderId="3" xfId="0" applyNumberFormat="1" applyFont="1" applyFill="1" applyBorder="1" applyAlignment="1" applyProtection="1">
      <alignment vertical="center"/>
      <protection hidden="1"/>
    </xf>
    <xf numFmtId="4" fontId="7" fillId="4" borderId="3" xfId="0" applyNumberFormat="1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0" fontId="10" fillId="9" borderId="10" xfId="0" applyFont="1" applyFill="1" applyBorder="1" applyAlignment="1" applyProtection="1">
      <alignment vertical="center"/>
      <protection hidden="1"/>
    </xf>
    <xf numFmtId="0" fontId="10" fillId="9" borderId="0" xfId="0" applyFont="1" applyFill="1" applyBorder="1" applyAlignment="1" applyProtection="1">
      <alignment vertical="center"/>
      <protection hidden="1"/>
    </xf>
    <xf numFmtId="0" fontId="10" fillId="9" borderId="0" xfId="0" applyFont="1" applyFill="1" applyBorder="1" applyAlignment="1" applyProtection="1">
      <alignment horizontal="right" vertical="center"/>
      <protection hidden="1"/>
    </xf>
    <xf numFmtId="3" fontId="10" fillId="9" borderId="0" xfId="0" applyNumberFormat="1" applyFont="1" applyFill="1" applyBorder="1" applyAlignment="1" applyProtection="1">
      <alignment vertical="center"/>
      <protection hidden="1"/>
    </xf>
    <xf numFmtId="3" fontId="10" fillId="9" borderId="3" xfId="0" applyNumberFormat="1" applyFont="1" applyFill="1" applyBorder="1" applyAlignment="1" applyProtection="1">
      <alignment vertical="center"/>
      <protection hidden="1"/>
    </xf>
    <xf numFmtId="3" fontId="10" fillId="15" borderId="10" xfId="0" applyNumberFormat="1" applyFont="1" applyFill="1" applyBorder="1" applyAlignment="1" applyProtection="1">
      <alignment horizontal="left" vertical="center"/>
      <protection hidden="1"/>
    </xf>
    <xf numFmtId="3" fontId="10" fillId="15" borderId="0" xfId="0" applyNumberFormat="1" applyFont="1" applyFill="1" applyBorder="1" applyAlignment="1" applyProtection="1">
      <alignment horizontal="center" vertical="center"/>
      <protection hidden="1"/>
    </xf>
    <xf numFmtId="0" fontId="10" fillId="15" borderId="0" xfId="0" applyFont="1" applyFill="1" applyBorder="1" applyAlignment="1" applyProtection="1">
      <alignment horizontal="right" vertical="center"/>
      <protection hidden="1"/>
    </xf>
    <xf numFmtId="0" fontId="10" fillId="15" borderId="0" xfId="0" applyFont="1" applyFill="1" applyBorder="1" applyAlignment="1" applyProtection="1">
      <alignment vertical="center"/>
      <protection hidden="1"/>
    </xf>
    <xf numFmtId="4" fontId="10" fillId="15" borderId="0" xfId="0" applyNumberFormat="1" applyFont="1" applyFill="1" applyBorder="1" applyAlignment="1" applyProtection="1">
      <alignment vertical="center"/>
      <protection hidden="1"/>
    </xf>
    <xf numFmtId="4" fontId="20" fillId="3" borderId="3" xfId="0" applyNumberFormat="1" applyFont="1" applyFill="1" applyBorder="1" applyAlignment="1" applyProtection="1">
      <alignment vertical="center"/>
      <protection hidden="1"/>
    </xf>
    <xf numFmtId="0" fontId="7" fillId="15" borderId="10" xfId="0" applyFont="1" applyFill="1" applyBorder="1" applyAlignment="1" applyProtection="1">
      <alignment vertical="center"/>
      <protection hidden="1"/>
    </xf>
    <xf numFmtId="0" fontId="7" fillId="15" borderId="0" xfId="0" applyFont="1" applyFill="1" applyBorder="1" applyAlignment="1" applyProtection="1">
      <alignment vertical="center"/>
      <protection hidden="1"/>
    </xf>
    <xf numFmtId="0" fontId="7" fillId="15" borderId="0" xfId="0" applyFont="1" applyFill="1" applyBorder="1" applyAlignment="1" applyProtection="1">
      <alignment horizontal="right" vertical="center"/>
      <protection hidden="1"/>
    </xf>
    <xf numFmtId="4" fontId="7" fillId="15" borderId="0" xfId="0" applyNumberFormat="1" applyFont="1" applyFill="1" applyBorder="1" applyAlignment="1" applyProtection="1">
      <alignment vertical="center"/>
      <protection hidden="1"/>
    </xf>
    <xf numFmtId="2" fontId="22" fillId="9" borderId="3" xfId="0" applyNumberFormat="1" applyFont="1" applyFill="1" applyBorder="1" applyAlignment="1" applyProtection="1">
      <alignment horizontal="right" vertical="center"/>
      <protection hidden="1"/>
    </xf>
    <xf numFmtId="4" fontId="22" fillId="9" borderId="3" xfId="0" applyNumberFormat="1" applyFont="1" applyFill="1" applyBorder="1" applyAlignment="1" applyProtection="1">
      <alignment vertical="center"/>
      <protection hidden="1"/>
    </xf>
    <xf numFmtId="0" fontId="7" fillId="7" borderId="10" xfId="0" applyFont="1" applyFill="1" applyBorder="1" applyAlignment="1" applyProtection="1">
      <alignment vertical="center"/>
      <protection hidden="1"/>
    </xf>
    <xf numFmtId="3" fontId="10" fillId="7" borderId="0" xfId="0" applyNumberFormat="1" applyFont="1" applyFill="1" applyBorder="1" applyAlignment="1" applyProtection="1">
      <alignment horizontal="right" vertical="center"/>
      <protection hidden="1"/>
    </xf>
    <xf numFmtId="3" fontId="10" fillId="7" borderId="0" xfId="0" applyNumberFormat="1" applyFont="1" applyFill="1" applyBorder="1" applyAlignment="1" applyProtection="1">
      <alignment horizontal="left" vertical="center"/>
      <protection hidden="1"/>
    </xf>
    <xf numFmtId="4" fontId="10" fillId="7" borderId="0" xfId="0" applyNumberFormat="1" applyFont="1" applyFill="1" applyBorder="1" applyAlignment="1" applyProtection="1">
      <alignment vertical="center"/>
      <protection hidden="1"/>
    </xf>
    <xf numFmtId="4" fontId="23" fillId="3" borderId="3" xfId="0" applyNumberFormat="1" applyFont="1" applyFill="1" applyBorder="1" applyAlignment="1" applyProtection="1">
      <alignment vertical="center"/>
      <protection hidden="1"/>
    </xf>
    <xf numFmtId="0" fontId="10" fillId="16" borderId="10" xfId="0" applyFont="1" applyFill="1" applyBorder="1" applyAlignment="1" applyProtection="1">
      <alignment vertical="center"/>
      <protection hidden="1"/>
    </xf>
    <xf numFmtId="0" fontId="15" fillId="16" borderId="0" xfId="0" applyFont="1" applyFill="1" applyBorder="1" applyAlignment="1" applyProtection="1">
      <alignment vertical="center"/>
      <protection hidden="1"/>
    </xf>
    <xf numFmtId="0" fontId="10" fillId="16" borderId="0" xfId="0" applyFont="1" applyFill="1" applyBorder="1" applyAlignment="1" applyProtection="1">
      <alignment horizontal="right" vertical="center"/>
      <protection hidden="1"/>
    </xf>
    <xf numFmtId="0" fontId="10" fillId="16" borderId="0" xfId="0" applyFont="1" applyFill="1" applyBorder="1" applyAlignment="1" applyProtection="1">
      <alignment horizontal="left" vertical="center"/>
      <protection hidden="1"/>
    </xf>
    <xf numFmtId="2" fontId="10" fillId="16" borderId="0" xfId="0" applyNumberFormat="1" applyFont="1" applyFill="1" applyBorder="1" applyAlignment="1" applyProtection="1">
      <alignment vertical="center"/>
      <protection hidden="1"/>
    </xf>
    <xf numFmtId="0" fontId="10" fillId="16" borderId="0" xfId="0" applyFont="1" applyFill="1" applyBorder="1" applyAlignment="1" applyProtection="1">
      <alignment vertical="center"/>
      <protection hidden="1"/>
    </xf>
    <xf numFmtId="0" fontId="10" fillId="16" borderId="0" xfId="0" applyFont="1" applyFill="1" applyBorder="1" applyAlignment="1" applyProtection="1">
      <alignment horizontal="center" vertical="center"/>
      <protection hidden="1"/>
    </xf>
    <xf numFmtId="2" fontId="10" fillId="16" borderId="3" xfId="0" applyNumberFormat="1" applyFont="1" applyFill="1" applyBorder="1" applyAlignment="1" applyProtection="1">
      <alignment vertical="center"/>
      <protection hidden="1"/>
    </xf>
    <xf numFmtId="2" fontId="24" fillId="8" borderId="10" xfId="0" applyNumberFormat="1" applyFont="1" applyFill="1" applyBorder="1" applyAlignment="1" applyProtection="1">
      <alignment vertical="center"/>
      <protection hidden="1"/>
    </xf>
    <xf numFmtId="2" fontId="25" fillId="8" borderId="0" xfId="0" applyNumberFormat="1" applyFont="1" applyFill="1" applyBorder="1" applyAlignment="1" applyProtection="1">
      <alignment vertical="center"/>
      <protection hidden="1"/>
    </xf>
    <xf numFmtId="2" fontId="26" fillId="8" borderId="0" xfId="0" applyNumberFormat="1" applyFont="1" applyFill="1" applyBorder="1" applyAlignment="1" applyProtection="1">
      <alignment vertical="center"/>
      <protection hidden="1"/>
    </xf>
    <xf numFmtId="0" fontId="27" fillId="8" borderId="3" xfId="0" applyFont="1" applyFill="1" applyBorder="1" applyAlignment="1" applyProtection="1">
      <alignment horizontal="right" vertical="center"/>
      <protection hidden="1"/>
    </xf>
    <xf numFmtId="0" fontId="25" fillId="8" borderId="10" xfId="0" applyFont="1" applyFill="1" applyBorder="1" applyAlignment="1" applyProtection="1">
      <alignment vertical="center"/>
      <protection hidden="1"/>
    </xf>
    <xf numFmtId="0" fontId="25" fillId="8" borderId="0" xfId="0" applyFont="1" applyFill="1" applyBorder="1" applyAlignment="1" applyProtection="1">
      <alignment horizontal="center" vertical="center"/>
      <protection hidden="1"/>
    </xf>
    <xf numFmtId="2" fontId="27" fillId="8" borderId="0" xfId="0" applyNumberFormat="1" applyFont="1" applyFill="1" applyBorder="1" applyAlignment="1" applyProtection="1">
      <alignment horizontal="center" vertical="center"/>
      <protection hidden="1"/>
    </xf>
    <xf numFmtId="2" fontId="27" fillId="8" borderId="3" xfId="0" applyNumberFormat="1" applyFont="1" applyFill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25" fillId="8" borderId="11" xfId="0" applyFont="1" applyFill="1" applyBorder="1" applyAlignment="1" applyProtection="1">
      <alignment vertical="center"/>
      <protection hidden="1"/>
    </xf>
    <xf numFmtId="0" fontId="25" fillId="8" borderId="12" xfId="0" applyFont="1" applyFill="1" applyBorder="1" applyAlignment="1" applyProtection="1">
      <alignment horizontal="center" vertical="center"/>
      <protection hidden="1"/>
    </xf>
    <xf numFmtId="2" fontId="26" fillId="8" borderId="12" xfId="0" applyNumberFormat="1" applyFont="1" applyFill="1" applyBorder="1" applyAlignment="1" applyProtection="1">
      <alignment vertical="center"/>
      <protection hidden="1"/>
    </xf>
    <xf numFmtId="2" fontId="27" fillId="8" borderId="12" xfId="0" applyNumberFormat="1" applyFont="1" applyFill="1" applyBorder="1" applyAlignment="1" applyProtection="1">
      <alignment horizontal="center" vertical="center"/>
      <protection hidden="1"/>
    </xf>
    <xf numFmtId="2" fontId="27" fillId="8" borderId="13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0" fillId="9" borderId="8" xfId="0" applyFont="1" applyFill="1" applyBorder="1" applyAlignment="1" applyProtection="1">
      <alignment vertical="center" wrapText="1"/>
      <protection hidden="1"/>
    </xf>
    <xf numFmtId="0" fontId="10" fillId="9" borderId="15" xfId="0" applyFont="1" applyFill="1" applyBorder="1" applyAlignment="1" applyProtection="1">
      <alignment vertical="center"/>
      <protection hidden="1"/>
    </xf>
    <xf numFmtId="0" fontId="10" fillId="9" borderId="10" xfId="0" applyFont="1" applyFill="1" applyBorder="1" applyAlignment="1" applyProtection="1">
      <alignment vertical="center" wrapText="1"/>
      <protection hidden="1"/>
    </xf>
    <xf numFmtId="2" fontId="10" fillId="9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9" borderId="16" xfId="0" applyFont="1" applyFill="1" applyBorder="1" applyAlignment="1" applyProtection="1">
      <alignment horizontal="left" vertical="center"/>
      <protection hidden="1"/>
    </xf>
    <xf numFmtId="0" fontId="10" fillId="9" borderId="19" xfId="0" applyFont="1" applyFill="1" applyBorder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/>
      <protection hidden="1"/>
    </xf>
    <xf numFmtId="0" fontId="7" fillId="9" borderId="21" xfId="0" applyFont="1" applyFill="1" applyBorder="1" applyAlignment="1" applyProtection="1">
      <alignment vertical="center"/>
      <protection hidden="1"/>
    </xf>
    <xf numFmtId="0" fontId="7" fillId="9" borderId="10" xfId="0" applyFont="1" applyFill="1" applyBorder="1" applyAlignment="1" applyProtection="1">
      <alignment horizontal="left" vertical="center"/>
      <protection hidden="1"/>
    </xf>
    <xf numFmtId="0" fontId="7" fillId="9" borderId="0" xfId="0" applyFont="1" applyFill="1" applyBorder="1" applyAlignment="1" applyProtection="1">
      <alignment horizontal="center" vertical="center"/>
      <protection hidden="1"/>
    </xf>
    <xf numFmtId="1" fontId="7" fillId="9" borderId="3" xfId="0" applyNumberFormat="1" applyFont="1" applyFill="1" applyBorder="1" applyAlignment="1" applyProtection="1">
      <alignment horizontal="center" vertical="center"/>
      <protection hidden="1"/>
    </xf>
    <xf numFmtId="0" fontId="7" fillId="9" borderId="11" xfId="0" applyFont="1" applyFill="1" applyBorder="1" applyAlignment="1" applyProtection="1">
      <alignment horizontal="left" vertical="center"/>
      <protection hidden="1"/>
    </xf>
    <xf numFmtId="0" fontId="7" fillId="9" borderId="12" xfId="0" applyFont="1" applyFill="1" applyBorder="1" applyAlignment="1" applyProtection="1">
      <alignment horizontal="center" vertical="center"/>
      <protection hidden="1"/>
    </xf>
    <xf numFmtId="9" fontId="7" fillId="9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4" fillId="6" borderId="8" xfId="0" applyFont="1" applyFill="1" applyBorder="1" applyAlignment="1" applyProtection="1">
      <alignment horizontal="center" vertical="center"/>
      <protection hidden="1"/>
    </xf>
    <xf numFmtId="0" fontId="35" fillId="6" borderId="9" xfId="0" applyFont="1" applyFill="1" applyBorder="1" applyAlignment="1" applyProtection="1">
      <alignment horizontal="left" vertical="center"/>
      <protection hidden="1"/>
    </xf>
    <xf numFmtId="0" fontId="35" fillId="6" borderId="9" xfId="0" applyFont="1" applyFill="1" applyBorder="1" applyAlignment="1" applyProtection="1">
      <alignment vertical="center"/>
      <protection hidden="1"/>
    </xf>
    <xf numFmtId="0" fontId="45" fillId="6" borderId="1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5" fillId="6" borderId="10" xfId="0" applyFont="1" applyFill="1" applyBorder="1" applyAlignment="1" applyProtection="1">
      <alignment vertical="center"/>
      <protection hidden="1"/>
    </xf>
    <xf numFmtId="0" fontId="15" fillId="6" borderId="0" xfId="0" applyFont="1" applyFill="1" applyBorder="1" applyAlignment="1" applyProtection="1">
      <alignment horizontal="right" vertical="center"/>
      <protection hidden="1"/>
    </xf>
    <xf numFmtId="0" fontId="35" fillId="6" borderId="0" xfId="0" applyFont="1" applyFill="1" applyBorder="1" applyAlignment="1" applyProtection="1">
      <alignment vertical="center"/>
      <protection hidden="1"/>
    </xf>
    <xf numFmtId="0" fontId="15" fillId="6" borderId="3" xfId="0" applyFont="1" applyFill="1" applyBorder="1" applyAlignment="1" applyProtection="1">
      <alignment vertical="center"/>
      <protection hidden="1"/>
    </xf>
    <xf numFmtId="0" fontId="10" fillId="10" borderId="10" xfId="0" applyFont="1" applyFill="1" applyBorder="1" applyAlignment="1" applyProtection="1">
      <alignment vertical="center"/>
      <protection hidden="1"/>
    </xf>
    <xf numFmtId="0" fontId="7" fillId="10" borderId="0" xfId="0" applyFont="1" applyFill="1" applyBorder="1" applyAlignment="1" applyProtection="1">
      <alignment horizontal="left" vertical="center"/>
      <protection hidden="1"/>
    </xf>
    <xf numFmtId="0" fontId="35" fillId="10" borderId="0" xfId="0" applyFont="1" applyFill="1" applyBorder="1" applyAlignment="1" applyProtection="1">
      <alignment vertical="center"/>
      <protection hidden="1"/>
    </xf>
    <xf numFmtId="0" fontId="10" fillId="10" borderId="0" xfId="0" applyFont="1" applyFill="1" applyBorder="1" applyAlignment="1" applyProtection="1">
      <alignment vertical="center"/>
      <protection hidden="1"/>
    </xf>
    <xf numFmtId="0" fontId="15" fillId="10" borderId="3" xfId="0" applyFont="1" applyFill="1" applyBorder="1" applyAlignment="1" applyProtection="1">
      <alignment vertical="center"/>
      <protection hidden="1"/>
    </xf>
    <xf numFmtId="0" fontId="35" fillId="10" borderId="10" xfId="0" applyFont="1" applyFill="1" applyBorder="1" applyAlignment="1" applyProtection="1">
      <alignment vertical="center"/>
      <protection hidden="1"/>
    </xf>
    <xf numFmtId="0" fontId="35" fillId="10" borderId="0" xfId="0" applyFont="1" applyFill="1" applyBorder="1" applyAlignment="1" applyProtection="1">
      <alignment horizontal="left" vertical="center"/>
      <protection hidden="1"/>
    </xf>
    <xf numFmtId="0" fontId="7" fillId="4" borderId="6" xfId="0" applyFont="1" applyFill="1" applyBorder="1" applyAlignment="1" applyProtection="1">
      <alignment vertical="center"/>
      <protection hidden="1"/>
    </xf>
    <xf numFmtId="0" fontId="10" fillId="4" borderId="0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165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4" xfId="0" applyNumberFormat="1" applyFont="1" applyFill="1" applyBorder="1" applyAlignment="1" applyProtection="1">
      <alignment horizontal="center" vertical="center"/>
      <protection hidden="1"/>
    </xf>
    <xf numFmtId="2" fontId="7" fillId="3" borderId="5" xfId="0" applyNumberFormat="1" applyFont="1" applyFill="1" applyBorder="1" applyAlignment="1" applyProtection="1">
      <alignment horizontal="center" vertical="center"/>
      <protection hidden="1"/>
    </xf>
    <xf numFmtId="2" fontId="7" fillId="3" borderId="2" xfId="0" applyNumberFormat="1" applyFont="1" applyFill="1" applyBorder="1" applyAlignment="1" applyProtection="1">
      <alignment horizontal="center" vertical="center"/>
      <protection hidden="1"/>
    </xf>
    <xf numFmtId="2" fontId="7" fillId="3" borderId="7" xfId="0" applyNumberFormat="1" applyFont="1" applyFill="1" applyBorder="1" applyAlignment="1" applyProtection="1">
      <alignment horizontal="center" vertical="center"/>
      <protection hidden="1"/>
    </xf>
    <xf numFmtId="0" fontId="10" fillId="3" borderId="14" xfId="0" applyFont="1" applyFill="1" applyBorder="1" applyAlignment="1" applyProtection="1">
      <alignment horizontal="center" vertical="center"/>
      <protection hidden="1"/>
    </xf>
    <xf numFmtId="2" fontId="7" fillId="3" borderId="14" xfId="0" applyNumberFormat="1" applyFont="1" applyFill="1" applyBorder="1" applyAlignment="1" applyProtection="1">
      <alignment horizontal="center" vertical="center"/>
      <protection hidden="1"/>
    </xf>
    <xf numFmtId="2" fontId="7" fillId="3" borderId="22" xfId="0" applyNumberFormat="1" applyFon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 applyProtection="1">
      <alignment vertical="center" wrapText="1"/>
      <protection hidden="1"/>
    </xf>
    <xf numFmtId="2" fontId="40" fillId="3" borderId="6" xfId="0" applyNumberFormat="1" applyFont="1" applyFill="1" applyBorder="1" applyAlignment="1" applyProtection="1">
      <alignment horizontal="center" vertical="center"/>
      <protection hidden="1"/>
    </xf>
    <xf numFmtId="2" fontId="40" fillId="3" borderId="0" xfId="0" applyNumberFormat="1" applyFont="1" applyFill="1" applyBorder="1" applyAlignment="1" applyProtection="1">
      <alignment horizontal="center" vertical="center"/>
      <protection hidden="1"/>
    </xf>
    <xf numFmtId="2" fontId="40" fillId="3" borderId="3" xfId="0" applyNumberFormat="1" applyFont="1" applyFill="1" applyBorder="1" applyAlignment="1" applyProtection="1">
      <alignment horizontal="center" vertical="center"/>
      <protection hidden="1"/>
    </xf>
    <xf numFmtId="9" fontId="7" fillId="3" borderId="6" xfId="0" applyNumberFormat="1" applyFont="1" applyFill="1" applyBorder="1" applyAlignment="1" applyProtection="1">
      <alignment horizontal="center" vertical="center"/>
      <protection hidden="1"/>
    </xf>
    <xf numFmtId="2" fontId="7" fillId="3" borderId="3" xfId="0" applyNumberFormat="1" applyFont="1" applyFill="1" applyBorder="1" applyAlignment="1" applyProtection="1">
      <alignment horizontal="center" vertical="center"/>
      <protection hidden="1"/>
    </xf>
    <xf numFmtId="0" fontId="43" fillId="4" borderId="10" xfId="0" applyFont="1" applyFill="1" applyBorder="1" applyAlignment="1" applyProtection="1">
      <alignment vertical="center"/>
      <protection hidden="1"/>
    </xf>
    <xf numFmtId="0" fontId="7" fillId="3" borderId="6" xfId="0" applyFont="1" applyFill="1" applyBorder="1" applyAlignment="1" applyProtection="1">
      <alignment vertical="center"/>
      <protection hidden="1"/>
    </xf>
    <xf numFmtId="0" fontId="22" fillId="3" borderId="0" xfId="0" applyFont="1" applyFill="1" applyBorder="1" applyAlignment="1" applyProtection="1">
      <alignment horizontal="left" vertical="center"/>
      <protection hidden="1"/>
    </xf>
    <xf numFmtId="2" fontId="10" fillId="3" borderId="3" xfId="0" applyNumberFormat="1" applyFont="1" applyFill="1" applyBorder="1" applyAlignment="1" applyProtection="1">
      <alignment horizontal="center" vertical="center"/>
      <protection hidden="1"/>
    </xf>
    <xf numFmtId="0" fontId="15" fillId="4" borderId="10" xfId="0" applyFont="1" applyFill="1" applyBorder="1" applyAlignment="1" applyProtection="1">
      <alignment vertical="center"/>
      <protection hidden="1"/>
    </xf>
    <xf numFmtId="2" fontId="22" fillId="3" borderId="0" xfId="0" applyNumberFormat="1" applyFont="1" applyFill="1" applyBorder="1" applyAlignment="1" applyProtection="1">
      <alignment horizontal="right" vertical="center"/>
      <protection hidden="1"/>
    </xf>
    <xf numFmtId="0" fontId="43" fillId="4" borderId="10" xfId="0" applyFont="1" applyFill="1" applyBorder="1" applyAlignment="1" applyProtection="1">
      <alignment vertical="center" wrapText="1"/>
      <protection hidden="1"/>
    </xf>
    <xf numFmtId="0" fontId="10" fillId="4" borderId="11" xfId="0" applyFont="1" applyFill="1" applyBorder="1" applyAlignment="1" applyProtection="1">
      <alignment vertical="center"/>
      <protection hidden="1"/>
    </xf>
    <xf numFmtId="0" fontId="10" fillId="4" borderId="23" xfId="0" applyFont="1" applyFill="1" applyBorder="1" applyAlignment="1" applyProtection="1">
      <alignment horizontal="center" vertical="center"/>
      <protection hidden="1"/>
    </xf>
    <xf numFmtId="0" fontId="7" fillId="3" borderId="23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vertical="center"/>
      <protection hidden="1"/>
    </xf>
    <xf numFmtId="2" fontId="10" fillId="3" borderId="13" xfId="0" applyNumberFormat="1" applyFont="1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2" fontId="0" fillId="4" borderId="14" xfId="0" applyNumberFormat="1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2" fontId="0" fillId="3" borderId="5" xfId="0" applyNumberFormat="1" applyFill="1" applyBorder="1" applyAlignment="1" applyProtection="1">
      <alignment horizontal="center" vertical="center"/>
      <protection hidden="1"/>
    </xf>
    <xf numFmtId="2" fontId="0" fillId="3" borderId="25" xfId="0" applyNumberFormat="1" applyFill="1" applyBorder="1" applyAlignment="1" applyProtection="1">
      <alignment horizontal="center" vertical="center"/>
      <protection hidden="1"/>
    </xf>
    <xf numFmtId="2" fontId="0" fillId="3" borderId="4" xfId="0" applyNumberForma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2" fontId="0" fillId="3" borderId="0" xfId="0" applyNumberFormat="1" applyFill="1" applyBorder="1" applyAlignment="1" applyProtection="1">
      <alignment horizontal="center" vertical="center"/>
      <protection hidden="1"/>
    </xf>
    <xf numFmtId="2" fontId="0" fillId="3" borderId="26" xfId="0" applyNumberFormat="1" applyFill="1" applyBorder="1" applyAlignment="1" applyProtection="1">
      <alignment horizontal="center" vertical="center"/>
      <protection hidden="1"/>
    </xf>
    <xf numFmtId="2" fontId="0" fillId="3" borderId="6" xfId="0" applyNumberForma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2" fontId="0" fillId="3" borderId="14" xfId="0" applyNumberFormat="1" applyFill="1" applyBorder="1" applyAlignment="1" applyProtection="1">
      <alignment horizontal="center" vertical="center"/>
      <protection hidden="1"/>
    </xf>
    <xf numFmtId="2" fontId="0" fillId="3" borderId="28" xfId="0" applyNumberFormat="1" applyFill="1" applyBorder="1" applyAlignment="1" applyProtection="1">
      <alignment horizontal="center" vertical="center"/>
      <protection hidden="1"/>
    </xf>
    <xf numFmtId="2" fontId="0" fillId="3" borderId="7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10" fillId="17" borderId="8" xfId="0" applyFont="1" applyFill="1" applyBorder="1" applyAlignment="1" applyProtection="1">
      <alignment vertical="center"/>
      <protection hidden="1"/>
    </xf>
    <xf numFmtId="0" fontId="10" fillId="17" borderId="9" xfId="0" applyFont="1" applyFill="1" applyBorder="1" applyAlignment="1" applyProtection="1">
      <alignment vertical="center"/>
      <protection hidden="1"/>
    </xf>
    <xf numFmtId="0" fontId="10" fillId="17" borderId="1" xfId="0" applyFont="1" applyFill="1" applyBorder="1" applyAlignment="1" applyProtection="1">
      <alignment vertical="center"/>
      <protection hidden="1"/>
    </xf>
    <xf numFmtId="0" fontId="33" fillId="17" borderId="14" xfId="0" applyFont="1" applyFill="1" applyBorder="1" applyAlignment="1" applyProtection="1">
      <alignment vertical="center"/>
      <protection hidden="1"/>
    </xf>
    <xf numFmtId="0" fontId="33" fillId="17" borderId="10" xfId="0" applyFont="1" applyFill="1" applyBorder="1" applyAlignment="1" applyProtection="1">
      <alignment vertical="center"/>
      <protection hidden="1"/>
    </xf>
    <xf numFmtId="2" fontId="33" fillId="17" borderId="0" xfId="0" applyNumberFormat="1" applyFont="1" applyFill="1" applyBorder="1" applyAlignment="1" applyProtection="1">
      <alignment vertical="center"/>
      <protection hidden="1"/>
    </xf>
    <xf numFmtId="0" fontId="33" fillId="17" borderId="0" xfId="0" applyFont="1" applyFill="1" applyBorder="1" applyAlignment="1" applyProtection="1">
      <alignment vertical="center"/>
      <protection hidden="1"/>
    </xf>
    <xf numFmtId="0" fontId="48" fillId="17" borderId="0" xfId="0" applyFont="1" applyFill="1" applyBorder="1" applyAlignment="1" applyProtection="1">
      <alignment vertical="center"/>
      <protection hidden="1"/>
    </xf>
    <xf numFmtId="0" fontId="33" fillId="17" borderId="3" xfId="0" applyFont="1" applyFill="1" applyBorder="1" applyAlignment="1" applyProtection="1">
      <alignment vertical="center"/>
      <protection hidden="1"/>
    </xf>
    <xf numFmtId="3" fontId="33" fillId="17" borderId="0" xfId="0" applyNumberFormat="1" applyFont="1" applyFill="1" applyBorder="1" applyAlignment="1" applyProtection="1">
      <alignment vertical="center"/>
      <protection hidden="1"/>
    </xf>
    <xf numFmtId="3" fontId="33" fillId="17" borderId="14" xfId="0" applyNumberFormat="1" applyFont="1" applyFill="1" applyBorder="1" applyAlignment="1" applyProtection="1">
      <alignment vertical="center"/>
      <protection hidden="1"/>
    </xf>
    <xf numFmtId="0" fontId="0" fillId="19" borderId="10" xfId="0" applyFill="1" applyBorder="1" applyAlignment="1" applyProtection="1">
      <alignment vertical="center"/>
      <protection hidden="1"/>
    </xf>
    <xf numFmtId="0" fontId="0" fillId="19" borderId="0" xfId="0" applyFill="1" applyBorder="1" applyAlignment="1" applyProtection="1">
      <alignment vertical="center"/>
      <protection hidden="1"/>
    </xf>
    <xf numFmtId="0" fontId="0" fillId="19" borderId="3" xfId="0" applyFill="1" applyBorder="1" applyAlignment="1" applyProtection="1">
      <alignment vertical="center"/>
      <protection hidden="1"/>
    </xf>
    <xf numFmtId="0" fontId="0" fillId="19" borderId="0" xfId="0" applyFill="1" applyBorder="1" applyAlignment="1" applyProtection="1">
      <alignment horizontal="right" vertical="center"/>
      <protection hidden="1"/>
    </xf>
    <xf numFmtId="164" fontId="0" fillId="19" borderId="3" xfId="1" applyFont="1" applyFill="1" applyBorder="1" applyAlignment="1" applyProtection="1">
      <alignment vertical="center"/>
      <protection hidden="1"/>
    </xf>
    <xf numFmtId="0" fontId="0" fillId="19" borderId="27" xfId="0" applyFill="1" applyBorder="1" applyAlignment="1" applyProtection="1">
      <alignment vertical="center"/>
      <protection hidden="1"/>
    </xf>
    <xf numFmtId="0" fontId="0" fillId="19" borderId="14" xfId="0" applyFill="1" applyBorder="1" applyAlignment="1" applyProtection="1">
      <alignment vertical="center"/>
      <protection hidden="1"/>
    </xf>
    <xf numFmtId="0" fontId="0" fillId="19" borderId="14" xfId="0" applyFill="1" applyBorder="1" applyAlignment="1" applyProtection="1">
      <alignment horizontal="right" vertical="center"/>
      <protection hidden="1"/>
    </xf>
    <xf numFmtId="164" fontId="0" fillId="19" borderId="22" xfId="1" applyFont="1" applyFill="1" applyBorder="1" applyAlignment="1" applyProtection="1">
      <alignment vertical="center"/>
      <protection hidden="1"/>
    </xf>
    <xf numFmtId="0" fontId="0" fillId="18" borderId="27" xfId="0" applyFill="1" applyBorder="1" applyAlignment="1" applyProtection="1">
      <alignment vertical="center"/>
      <protection hidden="1"/>
    </xf>
    <xf numFmtId="0" fontId="0" fillId="18" borderId="14" xfId="0" applyFill="1" applyBorder="1" applyAlignment="1" applyProtection="1">
      <alignment vertical="center"/>
      <protection hidden="1"/>
    </xf>
    <xf numFmtId="0" fontId="0" fillId="18" borderId="14" xfId="0" applyFill="1" applyBorder="1" applyAlignment="1" applyProtection="1">
      <alignment horizontal="right" vertical="center"/>
      <protection hidden="1"/>
    </xf>
    <xf numFmtId="164" fontId="0" fillId="18" borderId="22" xfId="1" applyFont="1" applyFill="1" applyBorder="1" applyAlignment="1" applyProtection="1">
      <alignment vertical="center"/>
      <protection hidden="1"/>
    </xf>
    <xf numFmtId="0" fontId="0" fillId="20" borderId="0" xfId="0" applyFill="1" applyBorder="1" applyAlignment="1" applyProtection="1">
      <alignment vertical="center"/>
      <protection hidden="1"/>
    </xf>
    <xf numFmtId="164" fontId="0" fillId="20" borderId="3" xfId="1" applyFont="1" applyFill="1" applyBorder="1" applyAlignment="1" applyProtection="1">
      <alignment vertical="center"/>
      <protection hidden="1"/>
    </xf>
    <xf numFmtId="0" fontId="33" fillId="20" borderId="10" xfId="0" applyFont="1" applyFill="1" applyBorder="1" applyAlignment="1" applyProtection="1">
      <alignment vertical="center"/>
      <protection hidden="1"/>
    </xf>
    <xf numFmtId="0" fontId="0" fillId="20" borderId="0" xfId="0" applyFill="1" applyBorder="1" applyAlignment="1" applyProtection="1">
      <alignment horizontal="right" vertical="center"/>
      <protection hidden="1"/>
    </xf>
    <xf numFmtId="0" fontId="33" fillId="20" borderId="27" xfId="0" applyFont="1" applyFill="1" applyBorder="1" applyAlignment="1" applyProtection="1">
      <alignment vertical="center"/>
      <protection hidden="1"/>
    </xf>
    <xf numFmtId="0" fontId="0" fillId="20" borderId="14" xfId="0" applyFill="1" applyBorder="1" applyAlignment="1" applyProtection="1">
      <alignment vertical="center"/>
      <protection hidden="1"/>
    </xf>
    <xf numFmtId="0" fontId="0" fillId="20" borderId="14" xfId="0" applyFill="1" applyBorder="1" applyAlignment="1" applyProtection="1">
      <alignment horizontal="right" vertical="center"/>
      <protection hidden="1"/>
    </xf>
    <xf numFmtId="164" fontId="0" fillId="20" borderId="22" xfId="1" applyFont="1" applyFill="1" applyBorder="1" applyAlignment="1" applyProtection="1">
      <alignment vertical="center"/>
      <protection hidden="1"/>
    </xf>
    <xf numFmtId="0" fontId="0" fillId="21" borderId="10" xfId="0" applyFill="1" applyBorder="1" applyAlignment="1" applyProtection="1">
      <alignment vertical="center"/>
      <protection hidden="1"/>
    </xf>
    <xf numFmtId="0" fontId="0" fillId="21" borderId="0" xfId="0" applyFill="1" applyBorder="1" applyAlignment="1" applyProtection="1">
      <alignment vertical="center"/>
      <protection hidden="1"/>
    </xf>
    <xf numFmtId="164" fontId="0" fillId="21" borderId="3" xfId="1" applyFont="1" applyFill="1" applyBorder="1" applyAlignment="1" applyProtection="1">
      <alignment vertical="center"/>
      <protection hidden="1"/>
    </xf>
    <xf numFmtId="0" fontId="0" fillId="21" borderId="0" xfId="0" applyFill="1" applyBorder="1" applyAlignment="1" applyProtection="1">
      <alignment horizontal="right" vertical="center"/>
      <protection hidden="1"/>
    </xf>
    <xf numFmtId="0" fontId="0" fillId="21" borderId="27" xfId="0" applyFill="1" applyBorder="1" applyAlignment="1" applyProtection="1">
      <alignment vertical="center"/>
      <protection hidden="1"/>
    </xf>
    <xf numFmtId="0" fontId="0" fillId="21" borderId="14" xfId="0" applyFill="1" applyBorder="1" applyAlignment="1" applyProtection="1">
      <alignment vertical="center"/>
      <protection hidden="1"/>
    </xf>
    <xf numFmtId="0" fontId="0" fillId="21" borderId="14" xfId="0" applyFill="1" applyBorder="1" applyAlignment="1" applyProtection="1">
      <alignment horizontal="right" vertical="center"/>
      <protection hidden="1"/>
    </xf>
    <xf numFmtId="164" fontId="0" fillId="21" borderId="22" xfId="1" applyFont="1" applyFill="1" applyBorder="1" applyAlignment="1" applyProtection="1">
      <alignment vertical="center"/>
      <protection hidden="1"/>
    </xf>
    <xf numFmtId="0" fontId="15" fillId="22" borderId="10" xfId="0" applyFont="1" applyFill="1" applyBorder="1" applyAlignment="1" applyProtection="1">
      <alignment vertical="center"/>
      <protection hidden="1"/>
    </xf>
    <xf numFmtId="0" fontId="15" fillId="22" borderId="0" xfId="0" applyFont="1" applyFill="1" applyBorder="1" applyAlignment="1" applyProtection="1">
      <alignment vertical="center"/>
      <protection hidden="1"/>
    </xf>
    <xf numFmtId="0" fontId="15" fillId="22" borderId="0" xfId="0" applyFont="1" applyFill="1" applyBorder="1" applyAlignment="1" applyProtection="1">
      <alignment horizontal="right" vertical="center"/>
      <protection hidden="1"/>
    </xf>
    <xf numFmtId="164" fontId="15" fillId="22" borderId="3" xfId="1" applyFont="1" applyFill="1" applyBorder="1" applyAlignment="1" applyProtection="1">
      <alignment vertical="center"/>
      <protection hidden="1"/>
    </xf>
    <xf numFmtId="0" fontId="15" fillId="22" borderId="11" xfId="0" applyFont="1" applyFill="1" applyBorder="1" applyAlignment="1" applyProtection="1">
      <alignment vertical="center"/>
      <protection hidden="1"/>
    </xf>
    <xf numFmtId="0" fontId="15" fillId="22" borderId="12" xfId="0" applyFont="1" applyFill="1" applyBorder="1" applyAlignment="1" applyProtection="1">
      <alignment vertical="center"/>
      <protection hidden="1"/>
    </xf>
    <xf numFmtId="0" fontId="15" fillId="22" borderId="12" xfId="0" applyFont="1" applyFill="1" applyBorder="1" applyAlignment="1" applyProtection="1">
      <alignment horizontal="right" vertical="center"/>
      <protection hidden="1"/>
    </xf>
    <xf numFmtId="164" fontId="15" fillId="22" borderId="13" xfId="1" applyFont="1" applyFill="1" applyBorder="1" applyAlignment="1" applyProtection="1">
      <alignment vertical="center"/>
      <protection hidden="1"/>
    </xf>
    <xf numFmtId="2" fontId="15" fillId="4" borderId="29" xfId="0" applyNumberFormat="1" applyFont="1" applyFill="1" applyBorder="1" applyAlignment="1" applyProtection="1">
      <alignment horizontal="center" vertical="center"/>
      <protection hidden="1"/>
    </xf>
    <xf numFmtId="0" fontId="15" fillId="4" borderId="30" xfId="0" applyFont="1" applyFill="1" applyBorder="1" applyAlignment="1" applyProtection="1">
      <alignment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left" vertical="center"/>
      <protection hidden="1"/>
    </xf>
    <xf numFmtId="2" fontId="0" fillId="4" borderId="28" xfId="0" applyNumberForma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lef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  <xf numFmtId="0" fontId="0" fillId="4" borderId="7" xfId="0" applyFill="1" applyBorder="1" applyAlignment="1" applyProtection="1">
      <alignment horizontal="left" vertical="center"/>
      <protection hidden="1"/>
    </xf>
    <xf numFmtId="2" fontId="15" fillId="4" borderId="31" xfId="0" applyNumberFormat="1" applyFont="1" applyFill="1" applyBorder="1" applyAlignment="1" applyProtection="1">
      <alignment horizontal="center" vertical="center"/>
      <protection hidden="1"/>
    </xf>
    <xf numFmtId="2" fontId="15" fillId="4" borderId="32" xfId="0" applyNumberFormat="1" applyFont="1" applyFill="1" applyBorder="1" applyAlignment="1" applyProtection="1">
      <alignment horizontal="center" vertical="center"/>
      <protection hidden="1"/>
    </xf>
    <xf numFmtId="0" fontId="32" fillId="11" borderId="7" xfId="0" applyFont="1" applyFill="1" applyBorder="1" applyAlignment="1" applyProtection="1">
      <alignment horizontal="center" vertical="center"/>
      <protection hidden="1"/>
    </xf>
    <xf numFmtId="2" fontId="32" fillId="11" borderId="14" xfId="0" applyNumberFormat="1" applyFont="1" applyFill="1" applyBorder="1" applyAlignment="1" applyProtection="1">
      <alignment horizontal="center" vertical="center"/>
      <protection hidden="1"/>
    </xf>
    <xf numFmtId="2" fontId="32" fillId="11" borderId="24" xfId="0" applyNumberFormat="1" applyFont="1" applyFill="1" applyBorder="1" applyAlignment="1" applyProtection="1">
      <alignment horizontal="center" vertical="center"/>
      <protection hidden="1"/>
    </xf>
    <xf numFmtId="2" fontId="32" fillId="11" borderId="28" xfId="0" applyNumberFormat="1" applyFont="1" applyFill="1" applyBorder="1" applyAlignment="1" applyProtection="1">
      <alignment horizontal="center" vertical="center"/>
      <protection hidden="1"/>
    </xf>
    <xf numFmtId="0" fontId="32" fillId="11" borderId="7" xfId="0" applyFont="1" applyFill="1" applyBorder="1" applyAlignment="1" applyProtection="1">
      <alignment horizontal="left" vertical="center"/>
      <protection hidden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4" borderId="29" xfId="0" applyFill="1" applyBorder="1" applyAlignment="1" applyProtection="1">
      <alignment horizontal="left" vertical="center"/>
      <protection hidden="1"/>
    </xf>
    <xf numFmtId="0" fontId="55" fillId="0" borderId="0" xfId="0" applyFont="1" applyProtection="1">
      <protection hidden="1"/>
    </xf>
    <xf numFmtId="0" fontId="55" fillId="0" borderId="0" xfId="0" applyFont="1" applyFill="1" applyBorder="1" applyAlignment="1" applyProtection="1">
      <alignment vertical="center"/>
      <protection hidden="1"/>
    </xf>
    <xf numFmtId="0" fontId="55" fillId="0" borderId="0" xfId="0" applyFont="1" applyBorder="1" applyAlignment="1" applyProtection="1">
      <alignment horizontal="center" vertical="center"/>
      <protection hidden="1"/>
    </xf>
    <xf numFmtId="0" fontId="55" fillId="0" borderId="0" xfId="0" applyFont="1" applyBorder="1" applyAlignment="1" applyProtection="1">
      <alignment vertical="center"/>
      <protection hidden="1"/>
    </xf>
    <xf numFmtId="0" fontId="55" fillId="0" borderId="0" xfId="0" applyFont="1" applyAlignment="1" applyProtection="1">
      <alignment horizontal="center"/>
      <protection hidden="1"/>
    </xf>
    <xf numFmtId="2" fontId="54" fillId="0" borderId="0" xfId="0" applyNumberFormat="1" applyFont="1" applyFill="1" applyBorder="1" applyAlignment="1" applyProtection="1">
      <alignment vertical="center"/>
      <protection hidden="1"/>
    </xf>
    <xf numFmtId="0" fontId="54" fillId="0" borderId="0" xfId="0" applyFont="1" applyFill="1" applyAlignment="1" applyProtection="1">
      <alignment vertical="center"/>
      <protection hidden="1"/>
    </xf>
    <xf numFmtId="0" fontId="55" fillId="0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2" fontId="10" fillId="9" borderId="35" xfId="0" applyNumberFormat="1" applyFont="1" applyFill="1" applyBorder="1" applyAlignment="1" applyProtection="1">
      <alignment horizontal="center" vertical="center" wrapText="1"/>
      <protection hidden="1"/>
    </xf>
    <xf numFmtId="2" fontId="10" fillId="9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9" borderId="1" xfId="0" applyFont="1" applyFill="1" applyBorder="1" applyAlignment="1" applyProtection="1">
      <alignment horizontal="center" vertical="center" wrapText="1"/>
      <protection hidden="1"/>
    </xf>
    <xf numFmtId="0" fontId="10" fillId="9" borderId="2" xfId="0" applyFont="1" applyFill="1" applyBorder="1" applyAlignment="1" applyProtection="1">
      <alignment horizontal="center" vertical="center"/>
      <protection hidden="1"/>
    </xf>
    <xf numFmtId="0" fontId="10" fillId="9" borderId="3" xfId="0" applyFont="1" applyFill="1" applyBorder="1" applyAlignment="1" applyProtection="1">
      <alignment horizontal="center" vertical="center" wrapText="1"/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7" fillId="9" borderId="1" xfId="0" applyFont="1" applyFill="1" applyBorder="1" applyAlignment="1" applyProtection="1">
      <alignment vertical="center"/>
      <protection hidden="1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1" fontId="7" fillId="9" borderId="34" xfId="0" applyNumberFormat="1" applyFont="1" applyFill="1" applyBorder="1" applyAlignment="1" applyProtection="1">
      <alignment horizontal="center" vertical="center"/>
      <protection hidden="1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9" fontId="7" fillId="9" borderId="35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18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10" fontId="34" fillId="4" borderId="3" xfId="1" applyNumberFormat="1" applyFont="1" applyFill="1" applyBorder="1" applyAlignment="1" applyProtection="1">
      <alignment horizontal="right" vertical="center"/>
      <protection hidden="1"/>
    </xf>
    <xf numFmtId="10" fontId="7" fillId="4" borderId="3" xfId="0" applyNumberFormat="1" applyFont="1" applyFill="1" applyBorder="1" applyAlignment="1" applyProtection="1">
      <alignment horizontal="right" vertical="center"/>
      <protection hidden="1"/>
    </xf>
    <xf numFmtId="10" fontId="10" fillId="4" borderId="3" xfId="0" applyNumberFormat="1" applyFont="1" applyFill="1" applyBorder="1" applyAlignment="1" applyProtection="1">
      <alignment horizontal="right" vertical="center"/>
      <protection hidden="1"/>
    </xf>
    <xf numFmtId="2" fontId="0" fillId="2" borderId="14" xfId="0" applyNumberFormat="1" applyFill="1" applyBorder="1" applyAlignment="1" applyProtection="1">
      <alignment vertical="center"/>
      <protection locked="0"/>
    </xf>
    <xf numFmtId="167" fontId="10" fillId="2" borderId="14" xfId="1" applyNumberFormat="1" applyFont="1" applyFill="1" applyBorder="1" applyAlignment="1" applyProtection="1">
      <alignment vertical="center"/>
      <protection locked="0"/>
    </xf>
    <xf numFmtId="10" fontId="34" fillId="4" borderId="22" xfId="1" applyNumberFormat="1" applyFont="1" applyFill="1" applyBorder="1" applyAlignment="1" applyProtection="1">
      <alignment horizontal="right" vertical="center"/>
      <protection hidden="1"/>
    </xf>
    <xf numFmtId="164" fontId="7" fillId="2" borderId="14" xfId="1" applyFont="1" applyFill="1" applyBorder="1" applyAlignment="1" applyProtection="1">
      <alignment vertical="center"/>
      <protection locked="0"/>
    </xf>
    <xf numFmtId="0" fontId="31" fillId="5" borderId="16" xfId="0" applyFont="1" applyFill="1" applyBorder="1" applyAlignment="1" applyProtection="1">
      <alignment vertical="center"/>
      <protection hidden="1"/>
    </xf>
    <xf numFmtId="0" fontId="31" fillId="5" borderId="17" xfId="0" applyFont="1" applyFill="1" applyBorder="1" applyAlignment="1" applyProtection="1">
      <alignment vertical="center"/>
      <protection hidden="1"/>
    </xf>
    <xf numFmtId="0" fontId="31" fillId="5" borderId="18" xfId="0" applyFont="1" applyFill="1" applyBorder="1" applyAlignment="1" applyProtection="1">
      <alignment vertical="center"/>
      <protection hidden="1"/>
    </xf>
    <xf numFmtId="2" fontId="31" fillId="5" borderId="16" xfId="0" applyNumberFormat="1" applyFont="1" applyFill="1" applyBorder="1" applyAlignment="1" applyProtection="1">
      <alignment horizontal="center" vertical="center"/>
      <protection hidden="1"/>
    </xf>
    <xf numFmtId="0" fontId="31" fillId="5" borderId="36" xfId="0" applyFont="1" applyFill="1" applyBorder="1" applyAlignment="1" applyProtection="1">
      <alignment vertical="center"/>
      <protection hidden="1"/>
    </xf>
    <xf numFmtId="10" fontId="31" fillId="5" borderId="18" xfId="2" applyNumberFormat="1" applyFont="1" applyFill="1" applyBorder="1" applyAlignment="1" applyProtection="1">
      <alignment vertical="center"/>
      <protection hidden="1"/>
    </xf>
    <xf numFmtId="165" fontId="10" fillId="3" borderId="39" xfId="0" applyNumberFormat="1" applyFont="1" applyFill="1" applyBorder="1" applyAlignment="1" applyProtection="1">
      <alignment vertical="center"/>
      <protection hidden="1"/>
    </xf>
    <xf numFmtId="165" fontId="10" fillId="3" borderId="40" xfId="0" applyNumberFormat="1" applyFont="1" applyFill="1" applyBorder="1" applyAlignment="1" applyProtection="1">
      <alignment vertical="center"/>
      <protection hidden="1"/>
    </xf>
    <xf numFmtId="165" fontId="30" fillId="3" borderId="38" xfId="0" applyNumberFormat="1" applyFont="1" applyFill="1" applyBorder="1" applyAlignment="1" applyProtection="1">
      <alignment vertical="center"/>
      <protection hidden="1"/>
    </xf>
    <xf numFmtId="0" fontId="28" fillId="3" borderId="16" xfId="0" applyFont="1" applyFill="1" applyBorder="1" applyAlignment="1" applyProtection="1">
      <alignment vertical="center" wrapText="1"/>
      <protection hidden="1"/>
    </xf>
    <xf numFmtId="0" fontId="29" fillId="3" borderId="17" xfId="0" applyFont="1" applyFill="1" applyBorder="1" applyAlignment="1" applyProtection="1">
      <alignment vertical="center"/>
      <protection hidden="1"/>
    </xf>
    <xf numFmtId="0" fontId="0" fillId="3" borderId="17" xfId="0" applyFill="1" applyBorder="1" applyProtection="1">
      <protection hidden="1"/>
    </xf>
    <xf numFmtId="0" fontId="29" fillId="3" borderId="17" xfId="0" applyFont="1" applyFill="1" applyBorder="1" applyAlignment="1" applyProtection="1">
      <alignment horizontal="left" vertical="center"/>
      <protection hidden="1"/>
    </xf>
    <xf numFmtId="0" fontId="0" fillId="3" borderId="18" xfId="0" applyFill="1" applyBorder="1" applyProtection="1">
      <protection hidden="1"/>
    </xf>
    <xf numFmtId="0" fontId="30" fillId="6" borderId="8" xfId="0" applyFont="1" applyFill="1" applyBorder="1" applyAlignment="1" applyProtection="1">
      <alignment vertical="center"/>
      <protection hidden="1"/>
    </xf>
    <xf numFmtId="0" fontId="0" fillId="23" borderId="41" xfId="0" applyFill="1" applyBorder="1" applyProtection="1">
      <protection hidden="1"/>
    </xf>
    <xf numFmtId="0" fontId="0" fillId="23" borderId="9" xfId="0" applyFill="1" applyBorder="1" applyProtection="1">
      <protection hidden="1"/>
    </xf>
    <xf numFmtId="0" fontId="5" fillId="23" borderId="9" xfId="0" applyFont="1" applyFill="1" applyBorder="1" applyAlignment="1" applyProtection="1">
      <alignment vertical="center"/>
      <protection hidden="1"/>
    </xf>
    <xf numFmtId="0" fontId="5" fillId="23" borderId="1" xfId="0" applyFont="1" applyFill="1" applyBorder="1" applyAlignment="1" applyProtection="1">
      <alignment vertical="center"/>
      <protection hidden="1"/>
    </xf>
    <xf numFmtId="0" fontId="0" fillId="23" borderId="6" xfId="0" applyFill="1" applyBorder="1" applyProtection="1">
      <protection hidden="1"/>
    </xf>
    <xf numFmtId="0" fontId="0" fillId="23" borderId="0" xfId="0" applyFill="1" applyBorder="1" applyProtection="1">
      <protection hidden="1"/>
    </xf>
    <xf numFmtId="0" fontId="5" fillId="23" borderId="0" xfId="0" applyFont="1" applyFill="1" applyBorder="1" applyAlignment="1" applyProtection="1">
      <alignment vertical="center"/>
      <protection hidden="1"/>
    </xf>
    <xf numFmtId="0" fontId="5" fillId="23" borderId="3" xfId="0" applyFont="1" applyFill="1" applyBorder="1" applyAlignment="1" applyProtection="1">
      <alignment vertical="center"/>
      <protection hidden="1"/>
    </xf>
    <xf numFmtId="0" fontId="0" fillId="23" borderId="6" xfId="0" applyFill="1" applyBorder="1" applyAlignment="1" applyProtection="1">
      <alignment vertical="center"/>
      <protection hidden="1"/>
    </xf>
    <xf numFmtId="0" fontId="0" fillId="23" borderId="0" xfId="0" applyFill="1" applyBorder="1" applyAlignment="1" applyProtection="1">
      <alignment vertical="center"/>
      <protection hidden="1"/>
    </xf>
    <xf numFmtId="0" fontId="0" fillId="23" borderId="3" xfId="0" applyFill="1" applyBorder="1" applyAlignment="1" applyProtection="1">
      <alignment vertical="center"/>
      <protection hidden="1"/>
    </xf>
    <xf numFmtId="0" fontId="0" fillId="23" borderId="3" xfId="0" applyFill="1" applyBorder="1" applyProtection="1">
      <protection hidden="1"/>
    </xf>
    <xf numFmtId="0" fontId="19" fillId="23" borderId="23" xfId="0" applyFont="1" applyFill="1" applyBorder="1" applyAlignment="1" applyProtection="1">
      <alignment horizontal="center"/>
      <protection hidden="1"/>
    </xf>
    <xf numFmtId="0" fontId="19" fillId="23" borderId="12" xfId="0" applyFont="1" applyFill="1" applyBorder="1" applyAlignment="1" applyProtection="1">
      <alignment horizontal="center"/>
      <protection hidden="1"/>
    </xf>
    <xf numFmtId="0" fontId="19" fillId="23" borderId="12" xfId="0" applyFont="1" applyFill="1" applyBorder="1" applyAlignment="1" applyProtection="1">
      <alignment vertical="center"/>
      <protection hidden="1"/>
    </xf>
    <xf numFmtId="0" fontId="19" fillId="23" borderId="13" xfId="0" applyFont="1" applyFill="1" applyBorder="1" applyAlignment="1" applyProtection="1">
      <alignment vertical="center"/>
      <protection hidden="1"/>
    </xf>
    <xf numFmtId="0" fontId="10" fillId="21" borderId="27" xfId="0" applyFont="1" applyFill="1" applyBorder="1" applyAlignment="1" applyProtection="1">
      <alignment horizontal="left" vertical="center"/>
      <protection hidden="1"/>
    </xf>
    <xf numFmtId="0" fontId="7" fillId="21" borderId="14" xfId="0" applyFont="1" applyFill="1" applyBorder="1" applyAlignment="1" applyProtection="1">
      <alignment vertical="center"/>
      <protection hidden="1"/>
    </xf>
    <xf numFmtId="0" fontId="10" fillId="21" borderId="14" xfId="0" applyFont="1" applyFill="1" applyBorder="1" applyAlignment="1" applyProtection="1">
      <alignment horizontal="right" vertical="center"/>
      <protection hidden="1"/>
    </xf>
    <xf numFmtId="0" fontId="15" fillId="21" borderId="14" xfId="0" applyFont="1" applyFill="1" applyBorder="1" applyAlignment="1" applyProtection="1">
      <alignment horizontal="center" vertical="center"/>
      <protection hidden="1"/>
    </xf>
    <xf numFmtId="0" fontId="10" fillId="24" borderId="10" xfId="0" applyFont="1" applyFill="1" applyBorder="1" applyAlignment="1" applyProtection="1">
      <alignment vertical="center"/>
      <protection hidden="1"/>
    </xf>
    <xf numFmtId="0" fontId="7" fillId="24" borderId="0" xfId="0" applyFont="1" applyFill="1" applyBorder="1" applyAlignment="1" applyProtection="1">
      <alignment vertical="center"/>
      <protection hidden="1"/>
    </xf>
    <xf numFmtId="0" fontId="33" fillId="24" borderId="0" xfId="0" applyFont="1" applyFill="1" applyBorder="1" applyAlignment="1" applyProtection="1">
      <alignment horizontal="center" vertical="center"/>
      <protection hidden="1"/>
    </xf>
    <xf numFmtId="0" fontId="7" fillId="24" borderId="10" xfId="0" applyFont="1" applyFill="1" applyBorder="1" applyAlignment="1" applyProtection="1">
      <alignment vertical="center"/>
      <protection hidden="1"/>
    </xf>
    <xf numFmtId="0" fontId="7" fillId="24" borderId="27" xfId="0" applyFont="1" applyFill="1" applyBorder="1" applyAlignment="1" applyProtection="1">
      <alignment vertical="center"/>
      <protection hidden="1"/>
    </xf>
    <xf numFmtId="0" fontId="7" fillId="24" borderId="14" xfId="0" applyFont="1" applyFill="1" applyBorder="1" applyAlignment="1" applyProtection="1">
      <alignment vertical="center"/>
      <protection hidden="1"/>
    </xf>
    <xf numFmtId="0" fontId="33" fillId="24" borderId="14" xfId="0" applyFont="1" applyFill="1" applyBorder="1" applyAlignment="1" applyProtection="1">
      <alignment horizontal="center" vertical="center"/>
      <protection hidden="1"/>
    </xf>
    <xf numFmtId="0" fontId="58" fillId="24" borderId="10" xfId="0" applyFont="1" applyFill="1" applyBorder="1" applyAlignment="1" applyProtection="1">
      <alignment vertical="top"/>
      <protection hidden="1"/>
    </xf>
    <xf numFmtId="10" fontId="33" fillId="24" borderId="14" xfId="2" applyNumberFormat="1" applyFont="1" applyFill="1" applyBorder="1" applyAlignment="1" applyProtection="1">
      <alignment horizontal="right" vertical="center"/>
      <protection hidden="1"/>
    </xf>
    <xf numFmtId="0" fontId="33" fillId="24" borderId="0" xfId="0" applyFont="1" applyFill="1" applyBorder="1" applyAlignment="1" applyProtection="1">
      <alignment vertical="center"/>
      <protection hidden="1"/>
    </xf>
    <xf numFmtId="164" fontId="7" fillId="24" borderId="14" xfId="1" applyFont="1" applyFill="1" applyBorder="1" applyAlignment="1" applyProtection="1">
      <alignment vertical="center"/>
      <protection hidden="1"/>
    </xf>
    <xf numFmtId="10" fontId="63" fillId="21" borderId="22" xfId="1" applyNumberFormat="1" applyFont="1" applyFill="1" applyBorder="1" applyAlignment="1" applyProtection="1">
      <alignment horizontal="right" vertical="center"/>
      <protection hidden="1"/>
    </xf>
    <xf numFmtId="0" fontId="64" fillId="5" borderId="17" xfId="0" applyFont="1" applyFill="1" applyBorder="1" applyAlignment="1" applyProtection="1">
      <alignment horizontal="right" vertical="center"/>
      <protection hidden="1"/>
    </xf>
    <xf numFmtId="0" fontId="10" fillId="25" borderId="8" xfId="0" applyFont="1" applyFill="1" applyBorder="1" applyAlignment="1" applyProtection="1">
      <alignment horizontal="left" vertical="center"/>
      <protection hidden="1"/>
    </xf>
    <xf numFmtId="0" fontId="10" fillId="25" borderId="9" xfId="0" applyFont="1" applyFill="1" applyBorder="1" applyAlignment="1" applyProtection="1">
      <alignment horizontal="center" vertical="center"/>
      <protection hidden="1"/>
    </xf>
    <xf numFmtId="0" fontId="57" fillId="25" borderId="10" xfId="0" applyFont="1" applyFill="1" applyBorder="1" applyAlignment="1" applyProtection="1">
      <alignment vertical="center"/>
      <protection hidden="1"/>
    </xf>
    <xf numFmtId="0" fontId="57" fillId="25" borderId="0" xfId="0" applyFont="1" applyFill="1" applyBorder="1" applyAlignment="1" applyProtection="1">
      <alignment horizontal="center" vertical="center"/>
      <protection hidden="1"/>
    </xf>
    <xf numFmtId="0" fontId="10" fillId="25" borderId="10" xfId="0" applyFont="1" applyFill="1" applyBorder="1" applyAlignment="1" applyProtection="1">
      <alignment horizontal="left" vertical="center"/>
      <protection hidden="1"/>
    </xf>
    <xf numFmtId="0" fontId="10" fillId="25" borderId="0" xfId="0" applyFont="1" applyFill="1" applyBorder="1" applyAlignment="1" applyProtection="1">
      <alignment horizontal="center" vertical="center"/>
      <protection hidden="1"/>
    </xf>
    <xf numFmtId="2" fontId="10" fillId="25" borderId="33" xfId="0" applyNumberFormat="1" applyFont="1" applyFill="1" applyBorder="1" applyAlignment="1" applyProtection="1">
      <alignment horizontal="center" vertical="center"/>
      <protection hidden="1"/>
    </xf>
    <xf numFmtId="10" fontId="57" fillId="25" borderId="34" xfId="0" applyNumberFormat="1" applyFont="1" applyFill="1" applyBorder="1" applyAlignment="1" applyProtection="1">
      <alignment horizontal="center" vertical="center"/>
      <protection hidden="1"/>
    </xf>
    <xf numFmtId="10" fontId="57" fillId="25" borderId="3" xfId="0" applyNumberFormat="1" applyFont="1" applyFill="1" applyBorder="1" applyAlignment="1" applyProtection="1">
      <alignment horizontal="center" vertical="center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9" fontId="1" fillId="3" borderId="6" xfId="2" applyFont="1" applyFill="1" applyBorder="1" applyAlignment="1" applyProtection="1">
      <alignment horizontal="center" vertical="center"/>
      <protection hidden="1"/>
    </xf>
    <xf numFmtId="9" fontId="1" fillId="3" borderId="0" xfId="2" applyFont="1" applyFill="1" applyBorder="1" applyAlignment="1" applyProtection="1">
      <alignment horizontal="center" vertical="center"/>
      <protection hidden="1"/>
    </xf>
    <xf numFmtId="9" fontId="1" fillId="3" borderId="3" xfId="2" applyFont="1" applyFill="1" applyBorder="1" applyAlignment="1" applyProtection="1">
      <alignment horizontal="center" vertical="center"/>
      <protection hidden="1"/>
    </xf>
    <xf numFmtId="0" fontId="59" fillId="26" borderId="0" xfId="0" applyFont="1" applyFill="1" applyBorder="1" applyAlignment="1" applyProtection="1">
      <alignment vertical="center"/>
      <protection hidden="1"/>
    </xf>
    <xf numFmtId="0" fontId="1" fillId="26" borderId="0" xfId="0" applyFont="1" applyFill="1" applyBorder="1" applyAlignment="1" applyProtection="1">
      <alignment vertical="center"/>
      <protection hidden="1"/>
    </xf>
    <xf numFmtId="0" fontId="60" fillId="26" borderId="0" xfId="0" applyFont="1" applyFill="1" applyBorder="1" applyAlignment="1" applyProtection="1">
      <alignment vertical="center"/>
      <protection hidden="1"/>
    </xf>
    <xf numFmtId="0" fontId="7" fillId="26" borderId="0" xfId="0" applyFont="1" applyFill="1" applyProtection="1">
      <protection hidden="1"/>
    </xf>
    <xf numFmtId="0" fontId="7" fillId="26" borderId="0" xfId="0" applyFont="1" applyFill="1" applyBorder="1" applyAlignment="1" applyProtection="1">
      <alignment vertical="center"/>
      <protection hidden="1"/>
    </xf>
    <xf numFmtId="0" fontId="61" fillId="26" borderId="0" xfId="0" applyFont="1" applyFill="1" applyBorder="1" applyAlignment="1" applyProtection="1">
      <alignment vertical="center"/>
      <protection hidden="1"/>
    </xf>
    <xf numFmtId="0" fontId="13" fillId="26" borderId="0" xfId="0" applyFont="1" applyFill="1" applyBorder="1" applyAlignment="1" applyProtection="1">
      <alignment vertical="center"/>
      <protection hidden="1"/>
    </xf>
    <xf numFmtId="0" fontId="65" fillId="26" borderId="0" xfId="0" applyFont="1" applyFill="1" applyBorder="1" applyAlignment="1" applyProtection="1">
      <alignment vertical="center"/>
      <protection hidden="1"/>
    </xf>
    <xf numFmtId="0" fontId="65" fillId="26" borderId="0" xfId="0" applyFont="1" applyFill="1" applyProtection="1">
      <protection hidden="1"/>
    </xf>
    <xf numFmtId="0" fontId="65" fillId="26" borderId="0" xfId="0" applyFont="1" applyFill="1" applyAlignment="1" applyProtection="1">
      <alignment horizontal="center"/>
      <protection hidden="1"/>
    </xf>
    <xf numFmtId="0" fontId="66" fillId="26" borderId="0" xfId="0" applyFont="1" applyFill="1" applyBorder="1" applyAlignment="1" applyProtection="1">
      <alignment vertical="center"/>
      <protection hidden="1"/>
    </xf>
    <xf numFmtId="0" fontId="66" fillId="26" borderId="0" xfId="0" applyFont="1" applyFill="1" applyProtection="1">
      <protection hidden="1"/>
    </xf>
    <xf numFmtId="3" fontId="66" fillId="26" borderId="0" xfId="0" applyNumberFormat="1" applyFont="1" applyFill="1" applyBorder="1" applyAlignment="1" applyProtection="1">
      <alignment vertical="center"/>
      <protection hidden="1"/>
    </xf>
    <xf numFmtId="4" fontId="66" fillId="26" borderId="0" xfId="0" applyNumberFormat="1" applyFont="1" applyFill="1" applyProtection="1">
      <protection hidden="1"/>
    </xf>
    <xf numFmtId="0" fontId="67" fillId="26" borderId="0" xfId="0" applyFont="1" applyFill="1" applyBorder="1" applyAlignment="1" applyProtection="1">
      <alignment vertical="center"/>
      <protection hidden="1"/>
    </xf>
    <xf numFmtId="0" fontId="67" fillId="26" borderId="0" xfId="0" applyFont="1" applyFill="1" applyProtection="1">
      <protection hidden="1"/>
    </xf>
    <xf numFmtId="0" fontId="1" fillId="26" borderId="0" xfId="0" applyFont="1" applyFill="1" applyBorder="1" applyAlignment="1" applyProtection="1">
      <alignment horizontal="center" vertical="center"/>
      <protection hidden="1"/>
    </xf>
    <xf numFmtId="0" fontId="1" fillId="26" borderId="0" xfId="0" applyFont="1" applyFill="1" applyProtection="1">
      <protection hidden="1"/>
    </xf>
    <xf numFmtId="0" fontId="0" fillId="26" borderId="0" xfId="0" applyFill="1" applyProtection="1">
      <protection hidden="1"/>
    </xf>
    <xf numFmtId="0" fontId="55" fillId="26" borderId="0" xfId="0" applyFont="1" applyFill="1" applyBorder="1" applyProtection="1">
      <protection hidden="1"/>
    </xf>
    <xf numFmtId="0" fontId="0" fillId="26" borderId="0" xfId="0" applyFill="1" applyBorder="1" applyProtection="1">
      <protection hidden="1"/>
    </xf>
    <xf numFmtId="0" fontId="55" fillId="26" borderId="0" xfId="0" applyFont="1" applyFill="1" applyProtection="1">
      <protection hidden="1"/>
    </xf>
    <xf numFmtId="0" fontId="10" fillId="26" borderId="10" xfId="0" applyFont="1" applyFill="1" applyBorder="1" applyAlignment="1" applyProtection="1">
      <alignment wrapText="1"/>
      <protection hidden="1"/>
    </xf>
    <xf numFmtId="0" fontId="10" fillId="26" borderId="0" xfId="0" applyFont="1" applyFill="1" applyBorder="1" applyAlignment="1" applyProtection="1">
      <alignment wrapText="1"/>
      <protection hidden="1"/>
    </xf>
    <xf numFmtId="0" fontId="54" fillId="26" borderId="0" xfId="0" applyFont="1" applyFill="1" applyProtection="1">
      <protection hidden="1"/>
    </xf>
    <xf numFmtId="0" fontId="56" fillId="26" borderId="0" xfId="0" applyFont="1" applyFill="1" applyBorder="1" applyAlignment="1" applyProtection="1">
      <alignment vertical="center"/>
      <protection hidden="1"/>
    </xf>
    <xf numFmtId="0" fontId="7" fillId="26" borderId="0" xfId="0" applyFont="1" applyFill="1" applyBorder="1" applyAlignment="1" applyProtection="1">
      <alignment horizontal="left" vertical="center"/>
      <protection hidden="1"/>
    </xf>
    <xf numFmtId="0" fontId="7" fillId="26" borderId="0" xfId="0" applyFont="1" applyFill="1" applyBorder="1" applyAlignment="1" applyProtection="1">
      <alignment horizontal="center" vertical="center"/>
      <protection hidden="1"/>
    </xf>
    <xf numFmtId="0" fontId="66" fillId="26" borderId="0" xfId="0" applyFont="1" applyFill="1" applyBorder="1" applyAlignment="1" applyProtection="1">
      <alignment horizontal="center" vertical="center"/>
      <protection hidden="1"/>
    </xf>
    <xf numFmtId="0" fontId="66" fillId="26" borderId="0" xfId="0" applyFont="1" applyFill="1" applyBorder="1" applyAlignment="1" applyProtection="1">
      <alignment horizontal="left" vertical="center"/>
      <protection hidden="1"/>
    </xf>
    <xf numFmtId="165" fontId="68" fillId="26" borderId="0" xfId="0" applyNumberFormat="1" applyFont="1" applyFill="1" applyBorder="1" applyAlignment="1" applyProtection="1">
      <alignment horizontal="center" vertical="center"/>
      <protection hidden="1"/>
    </xf>
    <xf numFmtId="0" fontId="66" fillId="26" borderId="0" xfId="0" applyFont="1" applyFill="1" applyBorder="1" applyAlignment="1" applyProtection="1">
      <alignment horizontal="left" vertical="center" wrapText="1"/>
      <protection hidden="1"/>
    </xf>
    <xf numFmtId="0" fontId="69" fillId="26" borderId="0" xfId="0" applyFont="1" applyFill="1" applyBorder="1" applyAlignment="1" applyProtection="1">
      <alignment horizontal="center" vertical="center"/>
      <protection hidden="1"/>
    </xf>
    <xf numFmtId="165" fontId="70" fillId="26" borderId="0" xfId="0" applyNumberFormat="1" applyFont="1" applyFill="1" applyBorder="1" applyAlignment="1" applyProtection="1">
      <alignment horizontal="center" vertical="center"/>
      <protection hidden="1"/>
    </xf>
    <xf numFmtId="0" fontId="69" fillId="26" borderId="0" xfId="0" applyFont="1" applyFill="1" applyBorder="1" applyAlignment="1" applyProtection="1">
      <alignment vertical="center"/>
      <protection hidden="1"/>
    </xf>
    <xf numFmtId="0" fontId="10" fillId="26" borderId="0" xfId="0" applyFont="1" applyFill="1" applyBorder="1" applyAlignment="1" applyProtection="1">
      <alignment vertical="center"/>
      <protection hidden="1"/>
    </xf>
    <xf numFmtId="0" fontId="17" fillId="26" borderId="0" xfId="0" applyFont="1" applyFill="1" applyBorder="1" applyAlignment="1" applyProtection="1">
      <alignment horizontal="center" vertical="center"/>
      <protection hidden="1"/>
    </xf>
    <xf numFmtId="0" fontId="7" fillId="26" borderId="0" xfId="0" applyFont="1" applyFill="1" applyBorder="1" applyProtection="1">
      <protection hidden="1"/>
    </xf>
    <xf numFmtId="164" fontId="10" fillId="26" borderId="0" xfId="0" applyNumberFormat="1" applyFont="1" applyFill="1" applyBorder="1" applyAlignment="1" applyProtection="1">
      <alignment horizontal="center" vertical="center"/>
      <protection hidden="1"/>
    </xf>
    <xf numFmtId="165" fontId="10" fillId="26" borderId="0" xfId="0" applyNumberFormat="1" applyFont="1" applyFill="1" applyBorder="1" applyAlignment="1" applyProtection="1">
      <alignment vertical="center"/>
      <protection hidden="1"/>
    </xf>
    <xf numFmtId="166" fontId="10" fillId="26" borderId="0" xfId="0" applyNumberFormat="1" applyFont="1" applyFill="1" applyBorder="1" applyAlignment="1" applyProtection="1">
      <alignment vertical="center"/>
      <protection hidden="1"/>
    </xf>
    <xf numFmtId="164" fontId="10" fillId="26" borderId="0" xfId="0" applyNumberFormat="1" applyFont="1" applyFill="1" applyBorder="1" applyAlignment="1" applyProtection="1">
      <alignment vertical="center"/>
      <protection hidden="1"/>
    </xf>
    <xf numFmtId="4" fontId="10" fillId="26" borderId="0" xfId="0" applyNumberFormat="1" applyFont="1" applyFill="1" applyBorder="1" applyAlignment="1" applyProtection="1">
      <alignment vertical="center"/>
      <protection hidden="1"/>
    </xf>
    <xf numFmtId="4" fontId="17" fillId="26" borderId="0" xfId="0" applyNumberFormat="1" applyFont="1" applyFill="1" applyBorder="1" applyAlignment="1" applyProtection="1">
      <alignment horizontal="center" vertical="center"/>
      <protection hidden="1"/>
    </xf>
    <xf numFmtId="0" fontId="10" fillId="26" borderId="0" xfId="0" applyFont="1" applyFill="1" applyBorder="1" applyAlignment="1" applyProtection="1">
      <alignment horizontal="center" vertical="center"/>
      <protection hidden="1"/>
    </xf>
    <xf numFmtId="164" fontId="10" fillId="26" borderId="0" xfId="1" applyFont="1" applyFill="1" applyBorder="1" applyAlignment="1" applyProtection="1">
      <alignment vertical="center"/>
      <protection hidden="1"/>
    </xf>
    <xf numFmtId="0" fontId="10" fillId="26" borderId="0" xfId="0" applyFont="1" applyFill="1" applyBorder="1" applyAlignment="1" applyProtection="1">
      <alignment horizontal="right" vertical="center"/>
      <protection hidden="1"/>
    </xf>
    <xf numFmtId="0" fontId="7" fillId="26" borderId="0" xfId="0" applyFont="1" applyFill="1" applyBorder="1" applyAlignment="1" applyProtection="1">
      <alignment horizontal="right" vertical="center"/>
      <protection hidden="1"/>
    </xf>
    <xf numFmtId="0" fontId="7" fillId="26" borderId="0" xfId="0" quotePrefix="1" applyFont="1" applyFill="1" applyBorder="1" applyAlignment="1" applyProtection="1">
      <alignment horizontal="left" vertical="center"/>
      <protection hidden="1"/>
    </xf>
    <xf numFmtId="10" fontId="7" fillId="26" borderId="0" xfId="0" applyNumberFormat="1" applyFont="1" applyFill="1" applyBorder="1" applyAlignment="1" applyProtection="1">
      <alignment horizontal="right" vertical="center"/>
      <protection hidden="1"/>
    </xf>
    <xf numFmtId="3" fontId="10" fillId="26" borderId="0" xfId="0" applyNumberFormat="1" applyFont="1" applyFill="1" applyBorder="1" applyAlignment="1" applyProtection="1">
      <alignment horizontal="center" vertical="center"/>
      <protection hidden="1"/>
    </xf>
    <xf numFmtId="0" fontId="0" fillId="26" borderId="0" xfId="0" applyFill="1" applyAlignment="1" applyProtection="1">
      <alignment vertical="center"/>
      <protection hidden="1"/>
    </xf>
    <xf numFmtId="9" fontId="0" fillId="26" borderId="0" xfId="0" applyNumberFormat="1" applyFill="1" applyAlignment="1" applyProtection="1">
      <alignment horizontal="center" vertical="center"/>
      <protection hidden="1"/>
    </xf>
    <xf numFmtId="0" fontId="0" fillId="26" borderId="0" xfId="0" applyFill="1" applyAlignment="1" applyProtection="1">
      <alignment horizontal="center" vertical="center"/>
      <protection hidden="1"/>
    </xf>
    <xf numFmtId="2" fontId="0" fillId="26" borderId="0" xfId="0" applyNumberFormat="1" applyFill="1" applyAlignment="1" applyProtection="1">
      <alignment horizontal="center" vertical="center"/>
      <protection hidden="1"/>
    </xf>
    <xf numFmtId="0" fontId="59" fillId="26" borderId="0" xfId="0" applyFont="1" applyFill="1" applyAlignment="1" applyProtection="1">
      <alignment vertical="center"/>
      <protection hidden="1"/>
    </xf>
    <xf numFmtId="0" fontId="0" fillId="26" borderId="0" xfId="0" applyFill="1" applyBorder="1" applyAlignment="1" applyProtection="1">
      <alignment vertical="center"/>
      <protection hidden="1"/>
    </xf>
    <xf numFmtId="2" fontId="0" fillId="26" borderId="0" xfId="0" applyNumberFormat="1" applyFill="1" applyAlignment="1" applyProtection="1">
      <alignment vertical="center"/>
      <protection hidden="1"/>
    </xf>
    <xf numFmtId="2" fontId="5" fillId="26" borderId="0" xfId="0" applyNumberFormat="1" applyFont="1" applyFill="1" applyAlignment="1" applyProtection="1">
      <alignment horizontal="center" vertical="center"/>
      <protection hidden="1"/>
    </xf>
    <xf numFmtId="0" fontId="5" fillId="26" borderId="0" xfId="0" applyFont="1" applyFill="1" applyAlignment="1" applyProtection="1">
      <alignment horizontal="left" vertical="center"/>
      <protection hidden="1"/>
    </xf>
    <xf numFmtId="0" fontId="0" fillId="4" borderId="30" xfId="0" applyFill="1" applyBorder="1" applyAlignment="1" applyProtection="1">
      <alignment horizontal="center" vertical="center"/>
      <protection hidden="1"/>
    </xf>
    <xf numFmtId="2" fontId="0" fillId="4" borderId="24" xfId="0" applyNumberFormat="1" applyFill="1" applyBorder="1" applyAlignment="1" applyProtection="1">
      <alignment horizontal="center" vertical="center"/>
      <protection hidden="1"/>
    </xf>
    <xf numFmtId="2" fontId="0" fillId="3" borderId="30" xfId="0" applyNumberFormat="1" applyFill="1" applyBorder="1" applyAlignment="1" applyProtection="1">
      <alignment horizontal="center" vertical="center"/>
      <protection hidden="1"/>
    </xf>
    <xf numFmtId="2" fontId="0" fillId="3" borderId="42" xfId="0" applyNumberFormat="1" applyFill="1" applyBorder="1" applyAlignment="1" applyProtection="1">
      <alignment horizontal="center" vertical="center"/>
      <protection hidden="1"/>
    </xf>
    <xf numFmtId="2" fontId="0" fillId="3" borderId="24" xfId="0" applyNumberForma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2" fontId="0" fillId="4" borderId="7" xfId="0" applyNumberFormat="1" applyFill="1" applyBorder="1" applyAlignment="1" applyProtection="1">
      <alignment horizontal="center" vertical="center"/>
      <protection hidden="1"/>
    </xf>
    <xf numFmtId="2" fontId="15" fillId="4" borderId="37" xfId="0" applyNumberFormat="1" applyFont="1" applyFill="1" applyBorder="1" applyAlignment="1" applyProtection="1">
      <alignment horizontal="center" vertical="center"/>
      <protection hidden="1"/>
    </xf>
    <xf numFmtId="2" fontId="32" fillId="11" borderId="7" xfId="0" applyNumberFormat="1" applyFont="1" applyFill="1" applyBorder="1" applyAlignment="1" applyProtection="1">
      <alignment horizontal="center" vertical="center"/>
      <protection hidden="1"/>
    </xf>
    <xf numFmtId="0" fontId="65" fillId="26" borderId="0" xfId="0" applyFont="1" applyFill="1" applyAlignment="1" applyProtection="1">
      <alignment vertical="center"/>
      <protection hidden="1"/>
    </xf>
    <xf numFmtId="0" fontId="10" fillId="23" borderId="4" xfId="0" applyFont="1" applyFill="1" applyBorder="1" applyAlignment="1" applyProtection="1">
      <alignment vertical="center"/>
      <protection hidden="1"/>
    </xf>
    <xf numFmtId="0" fontId="0" fillId="23" borderId="5" xfId="0" applyFill="1" applyBorder="1" applyAlignment="1" applyProtection="1">
      <alignment vertical="center"/>
      <protection hidden="1"/>
    </xf>
    <xf numFmtId="0" fontId="0" fillId="23" borderId="25" xfId="0" applyFill="1" applyBorder="1" applyAlignment="1" applyProtection="1">
      <alignment vertical="center"/>
      <protection hidden="1"/>
    </xf>
    <xf numFmtId="0" fontId="15" fillId="23" borderId="6" xfId="0" applyFont="1" applyFill="1" applyBorder="1" applyAlignment="1" applyProtection="1">
      <alignment vertical="center"/>
      <protection hidden="1"/>
    </xf>
    <xf numFmtId="0" fontId="15" fillId="23" borderId="0" xfId="0" applyFont="1" applyFill="1" applyBorder="1" applyAlignment="1" applyProtection="1">
      <alignment vertical="center"/>
      <protection hidden="1"/>
    </xf>
    <xf numFmtId="2" fontId="0" fillId="2" borderId="0" xfId="0" applyNumberFormat="1" applyFill="1" applyBorder="1" applyAlignment="1" applyProtection="1">
      <alignment vertical="center"/>
      <protection locked="0"/>
    </xf>
    <xf numFmtId="0" fontId="15" fillId="23" borderId="26" xfId="0" applyFont="1" applyFill="1" applyBorder="1" applyAlignment="1" applyProtection="1">
      <alignment vertical="center"/>
      <protection hidden="1"/>
    </xf>
    <xf numFmtId="0" fontId="15" fillId="23" borderId="28" xfId="0" applyFont="1" applyFill="1" applyBorder="1" applyAlignment="1" applyProtection="1">
      <alignment vertical="center"/>
      <protection hidden="1"/>
    </xf>
    <xf numFmtId="2" fontId="0" fillId="23" borderId="0" xfId="0" applyNumberFormat="1" applyFill="1" applyBorder="1" applyAlignment="1" applyProtection="1">
      <alignment vertical="center"/>
      <protection hidden="1"/>
    </xf>
    <xf numFmtId="0" fontId="1" fillId="23" borderId="6" xfId="0" applyFont="1" applyFill="1" applyBorder="1" applyAlignment="1" applyProtection="1">
      <alignment vertical="center"/>
      <protection hidden="1"/>
    </xf>
    <xf numFmtId="0" fontId="0" fillId="23" borderId="26" xfId="0" applyFill="1" applyBorder="1" applyAlignment="1" applyProtection="1">
      <alignment vertical="center"/>
      <protection hidden="1"/>
    </xf>
    <xf numFmtId="0" fontId="1" fillId="23" borderId="7" xfId="0" applyFont="1" applyFill="1" applyBorder="1" applyAlignment="1" applyProtection="1">
      <alignment vertical="center"/>
      <protection hidden="1"/>
    </xf>
    <xf numFmtId="0" fontId="1" fillId="23" borderId="14" xfId="0" applyFont="1" applyFill="1" applyBorder="1" applyAlignment="1" applyProtection="1">
      <alignment vertical="center"/>
      <protection hidden="1"/>
    </xf>
    <xf numFmtId="0" fontId="1" fillId="23" borderId="28" xfId="0" applyFont="1" applyFill="1" applyBorder="1" applyAlignment="1" applyProtection="1">
      <alignment vertical="center"/>
      <protection hidden="1"/>
    </xf>
    <xf numFmtId="0" fontId="10" fillId="3" borderId="4" xfId="0" applyFont="1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10" fillId="3" borderId="5" xfId="0" applyFont="1" applyFill="1" applyBorder="1" applyAlignment="1" applyProtection="1">
      <alignment vertical="center"/>
      <protection hidden="1"/>
    </xf>
    <xf numFmtId="0" fontId="0" fillId="3" borderId="25" xfId="0" applyFill="1" applyBorder="1" applyAlignment="1" applyProtection="1">
      <alignment vertical="center"/>
      <protection hidden="1"/>
    </xf>
    <xf numFmtId="0" fontId="10" fillId="6" borderId="6" xfId="0" applyFont="1" applyFill="1" applyBorder="1" applyAlignment="1" applyProtection="1">
      <alignment vertical="center"/>
      <protection hidden="1"/>
    </xf>
    <xf numFmtId="0" fontId="15" fillId="6" borderId="0" xfId="0" applyFont="1" applyFill="1" applyBorder="1" applyAlignment="1" applyProtection="1">
      <alignment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10" fillId="7" borderId="0" xfId="0" applyFont="1" applyFill="1" applyBorder="1" applyAlignment="1" applyProtection="1">
      <alignment vertical="center"/>
      <protection hidden="1"/>
    </xf>
    <xf numFmtId="0" fontId="15" fillId="7" borderId="0" xfId="0" applyFont="1" applyFill="1" applyBorder="1" applyAlignment="1" applyProtection="1">
      <alignment vertical="center"/>
      <protection hidden="1"/>
    </xf>
    <xf numFmtId="0" fontId="0" fillId="7" borderId="26" xfId="0" applyFill="1" applyBorder="1" applyAlignment="1" applyProtection="1">
      <alignment vertical="center"/>
      <protection hidden="1"/>
    </xf>
    <xf numFmtId="0" fontId="15" fillId="6" borderId="6" xfId="0" applyFont="1" applyFill="1" applyBorder="1" applyAlignment="1" applyProtection="1">
      <alignment vertical="center"/>
      <protection hidden="1"/>
    </xf>
    <xf numFmtId="2" fontId="15" fillId="7" borderId="0" xfId="0" applyNumberFormat="1" applyFont="1" applyFill="1" applyBorder="1" applyAlignment="1" applyProtection="1">
      <alignment vertical="center"/>
      <protection hidden="1"/>
    </xf>
    <xf numFmtId="0" fontId="15" fillId="7" borderId="26" xfId="0" applyFont="1" applyFill="1" applyBorder="1" applyAlignment="1" applyProtection="1">
      <alignment vertical="center"/>
      <protection hidden="1"/>
    </xf>
    <xf numFmtId="2" fontId="15" fillId="6" borderId="0" xfId="0" applyNumberFormat="1" applyFont="1" applyFill="1" applyBorder="1" applyAlignment="1" applyProtection="1">
      <alignment vertical="center"/>
      <protection hidden="1"/>
    </xf>
    <xf numFmtId="0" fontId="0" fillId="7" borderId="0" xfId="0" applyFill="1" applyBorder="1" applyAlignment="1" applyProtection="1">
      <alignment vertical="center"/>
      <protection hidden="1"/>
    </xf>
    <xf numFmtId="0" fontId="65" fillId="26" borderId="6" xfId="0" applyFont="1" applyFill="1" applyBorder="1" applyAlignment="1" applyProtection="1">
      <alignment vertical="center"/>
      <protection hidden="1"/>
    </xf>
    <xf numFmtId="2" fontId="65" fillId="26" borderId="0" xfId="0" applyNumberFormat="1" applyFont="1" applyFill="1" applyBorder="1" applyAlignment="1" applyProtection="1">
      <alignment vertical="center"/>
      <protection hidden="1"/>
    </xf>
    <xf numFmtId="0" fontId="65" fillId="26" borderId="26" xfId="0" applyFont="1" applyFill="1" applyBorder="1" applyAlignment="1" applyProtection="1">
      <alignment vertical="center"/>
      <protection hidden="1"/>
    </xf>
    <xf numFmtId="0" fontId="10" fillId="5" borderId="6" xfId="0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10" fillId="8" borderId="0" xfId="0" applyFont="1" applyFill="1" applyBorder="1" applyAlignment="1" applyProtection="1">
      <alignment vertical="center"/>
      <protection hidden="1"/>
    </xf>
    <xf numFmtId="0" fontId="0" fillId="8" borderId="26" xfId="0" applyFill="1" applyBorder="1" applyAlignment="1" applyProtection="1">
      <alignment vertical="center"/>
      <protection hidden="1"/>
    </xf>
    <xf numFmtId="0" fontId="15" fillId="5" borderId="6" xfId="0" applyFont="1" applyFill="1" applyBorder="1" applyAlignment="1" applyProtection="1">
      <alignment vertical="center"/>
      <protection hidden="1"/>
    </xf>
    <xf numFmtId="0" fontId="0" fillId="8" borderId="0" xfId="0" applyFill="1" applyBorder="1" applyAlignment="1" applyProtection="1">
      <alignment vertical="center"/>
      <protection hidden="1"/>
    </xf>
    <xf numFmtId="0" fontId="15" fillId="5" borderId="7" xfId="0" applyFont="1" applyFill="1" applyBorder="1" applyAlignment="1" applyProtection="1">
      <alignment vertical="center"/>
      <protection hidden="1"/>
    </xf>
    <xf numFmtId="2" fontId="15" fillId="5" borderId="14" xfId="0" applyNumberFormat="1" applyFont="1" applyFill="1" applyBorder="1" applyAlignment="1" applyProtection="1">
      <alignment vertical="center"/>
      <protection hidden="1"/>
    </xf>
    <xf numFmtId="0" fontId="15" fillId="5" borderId="14" xfId="0" applyFont="1" applyFill="1" applyBorder="1" applyAlignment="1" applyProtection="1">
      <alignment vertical="center"/>
      <protection hidden="1"/>
    </xf>
    <xf numFmtId="0" fontId="0" fillId="26" borderId="14" xfId="0" applyFill="1" applyBorder="1" applyAlignment="1" applyProtection="1">
      <alignment vertical="center"/>
      <protection hidden="1"/>
    </xf>
    <xf numFmtId="0" fontId="15" fillId="8" borderId="14" xfId="0" applyFont="1" applyFill="1" applyBorder="1" applyAlignment="1" applyProtection="1">
      <alignment vertical="center"/>
      <protection hidden="1"/>
    </xf>
    <xf numFmtId="2" fontId="15" fillId="8" borderId="14" xfId="0" applyNumberFormat="1" applyFont="1" applyFill="1" applyBorder="1" applyAlignment="1" applyProtection="1">
      <alignment vertical="center"/>
      <protection hidden="1"/>
    </xf>
    <xf numFmtId="0" fontId="15" fillId="8" borderId="28" xfId="0" applyFont="1" applyFill="1" applyBorder="1" applyAlignment="1" applyProtection="1">
      <alignment vertical="center"/>
      <protection hidden="1"/>
    </xf>
    <xf numFmtId="164" fontId="0" fillId="26" borderId="0" xfId="1" applyFont="1" applyFill="1" applyProtection="1">
      <protection hidden="1"/>
    </xf>
    <xf numFmtId="0" fontId="33" fillId="17" borderId="14" xfId="0" applyFont="1" applyFill="1" applyBorder="1" applyAlignment="1" applyProtection="1">
      <alignment horizontal="right" vertical="center"/>
      <protection hidden="1"/>
    </xf>
    <xf numFmtId="0" fontId="15" fillId="17" borderId="14" xfId="0" applyFont="1" applyFill="1" applyBorder="1" applyAlignment="1" applyProtection="1">
      <alignment horizontal="center" vertical="center"/>
      <protection hidden="1"/>
    </xf>
    <xf numFmtId="0" fontId="33" fillId="17" borderId="10" xfId="0" applyFont="1" applyFill="1" applyBorder="1" applyAlignment="1" applyProtection="1">
      <alignment horizontal="left" vertical="center"/>
      <protection hidden="1"/>
    </xf>
    <xf numFmtId="0" fontId="33" fillId="17" borderId="27" xfId="0" applyFont="1" applyFill="1" applyBorder="1" applyAlignment="1" applyProtection="1">
      <alignment horizontal="left" vertical="center"/>
      <protection hidden="1"/>
    </xf>
    <xf numFmtId="0" fontId="71" fillId="17" borderId="0" xfId="0" applyFont="1" applyFill="1" applyBorder="1" applyAlignment="1" applyProtection="1">
      <alignment horizontal="right" vertical="center"/>
      <protection hidden="1"/>
    </xf>
    <xf numFmtId="0" fontId="0" fillId="17" borderId="0" xfId="0" applyFill="1" applyBorder="1" applyAlignment="1" applyProtection="1">
      <alignment vertical="center"/>
      <protection hidden="1"/>
    </xf>
    <xf numFmtId="0" fontId="0" fillId="17" borderId="3" xfId="0" applyFill="1" applyBorder="1" applyAlignment="1" applyProtection="1">
      <alignment vertical="center"/>
      <protection hidden="1"/>
    </xf>
    <xf numFmtId="0" fontId="0" fillId="17" borderId="22" xfId="0" applyFill="1" applyBorder="1" applyAlignment="1" applyProtection="1">
      <alignment vertical="center"/>
      <protection hidden="1"/>
    </xf>
    <xf numFmtId="0" fontId="0" fillId="17" borderId="1" xfId="0" applyFill="1" applyBorder="1" applyAlignment="1" applyProtection="1">
      <alignment vertical="center"/>
      <protection hidden="1"/>
    </xf>
    <xf numFmtId="167" fontId="33" fillId="17" borderId="3" xfId="1" applyNumberFormat="1" applyFont="1" applyFill="1" applyBorder="1" applyAlignment="1" applyProtection="1">
      <alignment vertical="center"/>
      <protection hidden="1"/>
    </xf>
    <xf numFmtId="0" fontId="15" fillId="17" borderId="0" xfId="0" applyFont="1" applyFill="1" applyBorder="1" applyAlignment="1" applyProtection="1">
      <alignment horizontal="left" vertical="center"/>
      <protection hidden="1"/>
    </xf>
    <xf numFmtId="164" fontId="68" fillId="26" borderId="0" xfId="0" applyNumberFormat="1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8" fillId="23" borderId="6" xfId="0" applyFont="1" applyFill="1" applyBorder="1" applyAlignment="1" applyProtection="1">
      <alignment horizontal="center" vertical="center" wrapText="1"/>
      <protection hidden="1"/>
    </xf>
    <xf numFmtId="0" fontId="37" fillId="23" borderId="0" xfId="0" applyFont="1" applyFill="1" applyBorder="1" applyAlignment="1" applyProtection="1">
      <alignment horizontal="center" vertical="center" wrapText="1"/>
      <protection hidden="1"/>
    </xf>
    <xf numFmtId="0" fontId="37" fillId="23" borderId="3" xfId="0" applyFont="1" applyFill="1" applyBorder="1" applyAlignment="1" applyProtection="1">
      <alignment horizontal="center" vertical="center" wrapText="1"/>
      <protection hidden="1"/>
    </xf>
    <xf numFmtId="0" fontId="37" fillId="23" borderId="6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30" fillId="2" borderId="8" xfId="0" applyFont="1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hidden="1"/>
    </xf>
    <xf numFmtId="0" fontId="16" fillId="13" borderId="0" xfId="0" applyFont="1" applyFill="1" applyBorder="1" applyAlignment="1" applyProtection="1">
      <alignment horizontal="center" vertical="center"/>
      <protection hidden="1"/>
    </xf>
    <xf numFmtId="0" fontId="10" fillId="6" borderId="9" xfId="0" applyFont="1" applyFill="1" applyBorder="1" applyAlignment="1" applyProtection="1">
      <alignment horizontal="center" vertical="center"/>
      <protection hidden="1"/>
    </xf>
    <xf numFmtId="0" fontId="10" fillId="6" borderId="1" xfId="0" applyFont="1" applyFill="1" applyBorder="1" applyAlignment="1" applyProtection="1">
      <alignment horizontal="center" vertical="center"/>
      <protection hidden="1"/>
    </xf>
    <xf numFmtId="0" fontId="4" fillId="26" borderId="0" xfId="0" applyFont="1" applyFill="1" applyAlignment="1" applyProtection="1">
      <alignment horizontal="center" vertical="center" wrapText="1"/>
      <protection hidden="1"/>
    </xf>
    <xf numFmtId="0" fontId="10" fillId="26" borderId="10" xfId="0" applyFont="1" applyFill="1" applyBorder="1" applyAlignment="1" applyProtection="1">
      <alignment horizontal="center" wrapText="1"/>
      <protection hidden="1"/>
    </xf>
    <xf numFmtId="0" fontId="10" fillId="26" borderId="0" xfId="0" applyFont="1" applyFill="1" applyBorder="1" applyAlignment="1" applyProtection="1">
      <alignment horizontal="center" wrapText="1"/>
      <protection hidden="1"/>
    </xf>
    <xf numFmtId="0" fontId="4" fillId="26" borderId="10" xfId="0" applyFont="1" applyFill="1" applyBorder="1" applyAlignment="1" applyProtection="1">
      <alignment horizontal="center" vertical="center" wrapText="1"/>
      <protection hidden="1"/>
    </xf>
    <xf numFmtId="2" fontId="41" fillId="3" borderId="0" xfId="0" applyNumberFormat="1" applyFont="1" applyFill="1" applyBorder="1" applyAlignment="1" applyProtection="1">
      <alignment horizontal="center" vertical="center"/>
      <protection hidden="1"/>
    </xf>
    <xf numFmtId="2" fontId="41" fillId="3" borderId="14" xfId="0" applyNumberFormat="1" applyFont="1" applyFill="1" applyBorder="1" applyAlignment="1" applyProtection="1">
      <alignment horizontal="center" vertical="center"/>
      <protection hidden="1"/>
    </xf>
    <xf numFmtId="2" fontId="10" fillId="3" borderId="3" xfId="0" applyNumberFormat="1" applyFont="1" applyFill="1" applyBorder="1" applyAlignment="1" applyProtection="1">
      <alignment horizontal="center" vertical="center"/>
      <protection hidden="1"/>
    </xf>
    <xf numFmtId="2" fontId="10" fillId="3" borderId="22" xfId="0" applyNumberFormat="1" applyFont="1" applyFill="1" applyBorder="1" applyAlignment="1" applyProtection="1">
      <alignment horizontal="center" vertical="center"/>
      <protection hidden="1"/>
    </xf>
    <xf numFmtId="0" fontId="4" fillId="26" borderId="0" xfId="0" applyFont="1" applyFill="1" applyBorder="1" applyAlignment="1" applyProtection="1">
      <alignment horizontal="center" vertical="center" wrapText="1"/>
      <protection hidden="1"/>
    </xf>
    <xf numFmtId="0" fontId="68" fillId="26" borderId="0" xfId="0" applyFont="1" applyFill="1" applyBorder="1" applyAlignment="1" applyProtection="1">
      <alignment horizontal="center" wrapText="1"/>
      <protection hidden="1"/>
    </xf>
    <xf numFmtId="0" fontId="15" fillId="20" borderId="10" xfId="0" applyFont="1" applyFill="1" applyBorder="1" applyAlignment="1" applyProtection="1">
      <alignment vertical="center"/>
      <protection hidden="1"/>
    </xf>
    <xf numFmtId="0" fontId="15" fillId="21" borderId="10" xfId="0" applyFont="1" applyFill="1" applyBorder="1" applyAlignment="1" applyProtection="1">
      <alignment vertical="center"/>
      <protection hidden="1"/>
    </xf>
    <xf numFmtId="0" fontId="15" fillId="19" borderId="10" xfId="0" applyFont="1" applyFill="1" applyBorder="1" applyAlignment="1" applyProtection="1">
      <alignment vertical="center"/>
      <protection hidden="1"/>
    </xf>
  </cellXfs>
  <cellStyles count="3">
    <cellStyle name="Komma" xfId="1" builtinId="3"/>
    <cellStyle name="Prozent" xfId="2" builtinId="5"/>
    <cellStyle name="Standard" xfId="0" builtinId="0"/>
  </cellStyles>
  <dxfs count="3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FFFF99"/>
      <color rgb="FFFF9147"/>
      <color rgb="FFFF7C80"/>
      <color rgb="FFCCCCF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7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Arbeitspreis und Kosten </a:t>
            </a:r>
            <a:endParaRPr lang="de-DE" sz="10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12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des Verfahrens</a:t>
            </a:r>
          </a:p>
        </c:rich>
      </c:tx>
      <c:layout>
        <c:manualLayout>
          <c:xMode val="edge"/>
          <c:yMode val="edge"/>
          <c:x val="0.28438948995363217"/>
          <c:y val="2.6954195635078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01396246412516"/>
          <c:y val="0.13350695615001021"/>
          <c:w val="0.78670788253477586"/>
          <c:h val="0.66846405174994983"/>
        </c:manualLayout>
      </c:layout>
      <c:lineChart>
        <c:grouping val="standard"/>
        <c:varyColors val="0"/>
        <c:ser>
          <c:idx val="0"/>
          <c:order val="0"/>
          <c:tx>
            <c:strRef>
              <c:f>Gesamtergebnis!$A$35:$B$35</c:f>
              <c:strCache>
                <c:ptCount val="2"/>
                <c:pt idx="0">
                  <c:v>Gesamtkosten Verfahren</c:v>
                </c:pt>
                <c:pt idx="1">
                  <c:v>€ / h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Gesamtergebnis!$C$28:$M$28</c:f>
              <c:numCache>
                <c:formatCode>0.00</c:formatCode>
                <c:ptCount val="11"/>
                <c:pt idx="0">
                  <c:v>0.63</c:v>
                </c:pt>
                <c:pt idx="1">
                  <c:v>0.75600000000000001</c:v>
                </c:pt>
                <c:pt idx="2">
                  <c:v>0.8819999999999999</c:v>
                </c:pt>
                <c:pt idx="3">
                  <c:v>1.008</c:v>
                </c:pt>
                <c:pt idx="4">
                  <c:v>1.1340000000000001</c:v>
                </c:pt>
                <c:pt idx="5">
                  <c:v>1.26</c:v>
                </c:pt>
                <c:pt idx="6">
                  <c:v>1.3860000000000001</c:v>
                </c:pt>
                <c:pt idx="7">
                  <c:v>1.512</c:v>
                </c:pt>
                <c:pt idx="8">
                  <c:v>1.6380000000000001</c:v>
                </c:pt>
                <c:pt idx="9">
                  <c:v>1.7639999999999998</c:v>
                </c:pt>
                <c:pt idx="10">
                  <c:v>1.8900000000000001</c:v>
                </c:pt>
              </c:numCache>
            </c:numRef>
          </c:cat>
          <c:val>
            <c:numRef>
              <c:f>Gesamtergebnis!$C$35:$M$35</c:f>
              <c:numCache>
                <c:formatCode>0.00</c:formatCode>
                <c:ptCount val="11"/>
                <c:pt idx="0">
                  <c:v>124.82375956988868</c:v>
                </c:pt>
                <c:pt idx="1">
                  <c:v>126.81569804988868</c:v>
                </c:pt>
                <c:pt idx="2">
                  <c:v>128.80763652988867</c:v>
                </c:pt>
                <c:pt idx="3">
                  <c:v>130.79957500988868</c:v>
                </c:pt>
                <c:pt idx="4">
                  <c:v>132.79151348988867</c:v>
                </c:pt>
                <c:pt idx="5">
                  <c:v>134.78345196988869</c:v>
                </c:pt>
                <c:pt idx="6">
                  <c:v>136.77539044988868</c:v>
                </c:pt>
                <c:pt idx="7">
                  <c:v>138.76732892988866</c:v>
                </c:pt>
                <c:pt idx="8">
                  <c:v>140.75926740988868</c:v>
                </c:pt>
                <c:pt idx="9">
                  <c:v>142.75120588988869</c:v>
                </c:pt>
                <c:pt idx="10">
                  <c:v>144.74314436988868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A-4689-9FB3-1BAAD90CC758}"/>
            </c:ext>
          </c:extLst>
        </c:ser>
        <c:ser>
          <c:idx val="1"/>
          <c:order val="1"/>
          <c:tx>
            <c:strRef>
              <c:f>Gesamtergebnis!$A$36:$B$36</c:f>
              <c:strCache>
                <c:ptCount val="2"/>
                <c:pt idx="0">
                  <c:v>Arbeitspreis</c:v>
                </c:pt>
                <c:pt idx="1">
                  <c:v>€ / h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Gesamtergebnis!$C$28:$M$28</c:f>
              <c:numCache>
                <c:formatCode>0.00</c:formatCode>
                <c:ptCount val="11"/>
                <c:pt idx="0">
                  <c:v>0.63</c:v>
                </c:pt>
                <c:pt idx="1">
                  <c:v>0.75600000000000001</c:v>
                </c:pt>
                <c:pt idx="2">
                  <c:v>0.8819999999999999</c:v>
                </c:pt>
                <c:pt idx="3">
                  <c:v>1.008</c:v>
                </c:pt>
                <c:pt idx="4">
                  <c:v>1.1340000000000001</c:v>
                </c:pt>
                <c:pt idx="5">
                  <c:v>1.26</c:v>
                </c:pt>
                <c:pt idx="6">
                  <c:v>1.3860000000000001</c:v>
                </c:pt>
                <c:pt idx="7">
                  <c:v>1.512</c:v>
                </c:pt>
                <c:pt idx="8">
                  <c:v>1.6380000000000001</c:v>
                </c:pt>
                <c:pt idx="9">
                  <c:v>1.7639999999999998</c:v>
                </c:pt>
                <c:pt idx="10">
                  <c:v>1.8900000000000001</c:v>
                </c:pt>
              </c:numCache>
            </c:numRef>
          </c:cat>
          <c:val>
            <c:numRef>
              <c:f>Gesamtergebnis!$C$36:$M$36</c:f>
              <c:numCache>
                <c:formatCode>0.00</c:formatCode>
                <c:ptCount val="11"/>
                <c:pt idx="0">
                  <c:v>99.05</c:v>
                </c:pt>
                <c:pt idx="1">
                  <c:v>106.61</c:v>
                </c:pt>
                <c:pt idx="2">
                  <c:v>114.16999999999999</c:v>
                </c:pt>
                <c:pt idx="3">
                  <c:v>121.73</c:v>
                </c:pt>
                <c:pt idx="4">
                  <c:v>129.29000000000002</c:v>
                </c:pt>
                <c:pt idx="5">
                  <c:v>136.85</c:v>
                </c:pt>
                <c:pt idx="6">
                  <c:v>144.41000000000003</c:v>
                </c:pt>
                <c:pt idx="7">
                  <c:v>151.97</c:v>
                </c:pt>
                <c:pt idx="8">
                  <c:v>159.53</c:v>
                </c:pt>
                <c:pt idx="9">
                  <c:v>167.08999999999997</c:v>
                </c:pt>
                <c:pt idx="10">
                  <c:v>174.65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A-4689-9FB3-1BAAD90C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75328"/>
        <c:axId val="146327040"/>
      </c:lineChart>
      <c:catAx>
        <c:axId val="14627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Produktivität        ====&gt;  100%</a:t>
                </a:r>
              </a:p>
            </c:rich>
          </c:tx>
          <c:layout>
            <c:manualLayout>
              <c:xMode val="edge"/>
              <c:yMode val="edge"/>
              <c:x val="0.17619783616692428"/>
              <c:y val="0.8652296798860237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6327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4632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EURO</a:t>
                </a:r>
              </a:p>
            </c:rich>
          </c:tx>
          <c:layout>
            <c:manualLayout>
              <c:xMode val="edge"/>
              <c:yMode val="edge"/>
              <c:x val="0.1035548686244204"/>
              <c:y val="7.681945755997407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627532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FFFF00" mc:Ignorable="a14" a14:legacySpreadsheetColorIndex="34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0911901081916538E-2"/>
          <c:y val="0.93126745919196641"/>
          <c:w val="0.67233384853168465"/>
          <c:h val="4.58221325796336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5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de-DE" sz="15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Weitere Maschine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190643</xdr:colOff>
      <xdr:row>0</xdr:row>
      <xdr:rowOff>726977</xdr:rowOff>
    </xdr:from>
    <xdr:to>
      <xdr:col>18</xdr:col>
      <xdr:colOff>667381</xdr:colOff>
      <xdr:row>9</xdr:row>
      <xdr:rowOff>358716</xdr:rowOff>
    </xdr:to>
    <xdr:pic>
      <xdr:nvPicPr>
        <xdr:cNvPr id="1026" name="Picture 2" descr="LU4N_Logo ohne Hintergrun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4970" y="726977"/>
          <a:ext cx="2323367" cy="2541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10877550" y="1476375"/>
          <a:ext cx="3657600" cy="19145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52928" dir="18698012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Weiterer Mitarbeiter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0</xdr:row>
          <xdr:rowOff>0</xdr:rowOff>
        </xdr:from>
        <xdr:to>
          <xdr:col>2</xdr:col>
          <xdr:colOff>1303020</xdr:colOff>
          <xdr:row>0</xdr:row>
          <xdr:rowOff>0</xdr:rowOff>
        </xdr:to>
        <xdr:sp macro="" textlink="">
          <xdr:nvSpPr>
            <xdr:cNvPr id="2057" name="Butto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Weiterer Mitarbeiter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1363980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058" name="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3366FF"/>
                  </a:solidFill>
                  <a:latin typeface="Arial"/>
                  <a:cs typeface="Arial"/>
                </a:rPr>
                <a:t>Eingabe Löschen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2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Zurücksetzen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6</xdr:col>
      <xdr:colOff>268511</xdr:colOff>
      <xdr:row>0</xdr:row>
      <xdr:rowOff>436859</xdr:rowOff>
    </xdr:from>
    <xdr:to>
      <xdr:col>8</xdr:col>
      <xdr:colOff>361394</xdr:colOff>
      <xdr:row>5</xdr:row>
      <xdr:rowOff>136461</xdr:rowOff>
    </xdr:to>
    <xdr:pic>
      <xdr:nvPicPr>
        <xdr:cNvPr id="8" name="Picture 2" descr="LU4N_Logo ohne Hintergrun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652" y="436859"/>
          <a:ext cx="1664349" cy="1828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407670</xdr:colOff>
      <xdr:row>0</xdr:row>
      <xdr:rowOff>339090</xdr:rowOff>
    </xdr:from>
    <xdr:to>
      <xdr:col>10</xdr:col>
      <xdr:colOff>264174</xdr:colOff>
      <xdr:row>6</xdr:row>
      <xdr:rowOff>53535</xdr:rowOff>
    </xdr:to>
    <xdr:pic>
      <xdr:nvPicPr>
        <xdr:cNvPr id="4" name="Picture 2" descr="LU4N_Logo ohne Hintergrun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0" y="339090"/>
          <a:ext cx="1656729" cy="1828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0</xdr:row>
      <xdr:rowOff>0</xdr:rowOff>
    </xdr:from>
    <xdr:to>
      <xdr:col>12</xdr:col>
      <xdr:colOff>609600</xdr:colOff>
      <xdr:row>21</xdr:row>
      <xdr:rowOff>333375</xdr:rowOff>
    </xdr:to>
    <xdr:graphicFrame macro="">
      <xdr:nvGraphicFramePr>
        <xdr:cNvPr id="3073" name="Diagramm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657225</xdr:colOff>
      <xdr:row>2</xdr:row>
      <xdr:rowOff>247650</xdr:rowOff>
    </xdr:from>
    <xdr:to>
      <xdr:col>9</xdr:col>
      <xdr:colOff>657225</xdr:colOff>
      <xdr:row>17</xdr:row>
      <xdr:rowOff>180975</xdr:rowOff>
    </xdr:to>
    <xdr:sp macro="" textlink="">
      <xdr:nvSpPr>
        <xdr:cNvPr id="3075" name="Line 3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SpPr>
          <a:spLocks noChangeShapeType="1"/>
        </xdr:cNvSpPr>
      </xdr:nvSpPr>
      <xdr:spPr bwMode="auto">
        <a:xfrm>
          <a:off x="10582275" y="1038225"/>
          <a:ext cx="0" cy="470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447675</xdr:colOff>
      <xdr:row>19</xdr:row>
      <xdr:rowOff>66675</xdr:rowOff>
    </xdr:from>
    <xdr:to>
      <xdr:col>12</xdr:col>
      <xdr:colOff>171450</xdr:colOff>
      <xdr:row>21</xdr:row>
      <xdr:rowOff>228600</xdr:rowOff>
    </xdr:to>
    <xdr:pic>
      <xdr:nvPicPr>
        <xdr:cNvPr id="3076" name="Picture 4" descr="LU4N_Logo ohne Hintergrund">
          <a:extLst>
            <a:ext uri="{FF2B5EF4-FFF2-40B4-BE49-F238E27FC236}">
              <a16:creationId xmlns:a16="http://schemas.microsoft.com/office/drawing/2014/main" id="{00000000-0008-0000-03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675" y="6181725"/>
          <a:ext cx="6667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13</xdr:row>
      <xdr:rowOff>190500</xdr:rowOff>
    </xdr:from>
    <xdr:to>
      <xdr:col>4</xdr:col>
      <xdr:colOff>283845</xdr:colOff>
      <xdr:row>15</xdr:row>
      <xdr:rowOff>285750</xdr:rowOff>
    </xdr:to>
    <xdr:pic>
      <xdr:nvPicPr>
        <xdr:cNvPr id="3077" name="Picture 5" descr="LU4N_Logo ohne Hintergrund">
          <a:extLst>
            <a:ext uri="{FF2B5EF4-FFF2-40B4-BE49-F238E27FC236}">
              <a16:creationId xmlns:a16="http://schemas.microsoft.com/office/drawing/2014/main" id="{00000000-0008-0000-03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381500"/>
          <a:ext cx="6667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228600</xdr:colOff>
      <xdr:row>19</xdr:row>
      <xdr:rowOff>0</xdr:rowOff>
    </xdr:from>
    <xdr:to>
      <xdr:col>9</xdr:col>
      <xdr:colOff>790575</xdr:colOff>
      <xdr:row>19</xdr:row>
      <xdr:rowOff>152400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00000000-0008-0000-0300-0000070C0000}"/>
            </a:ext>
          </a:extLst>
        </xdr:cNvPr>
        <xdr:cNvSpPr>
          <a:spLocks noChangeArrowheads="1"/>
        </xdr:cNvSpPr>
      </xdr:nvSpPr>
      <xdr:spPr bwMode="auto">
        <a:xfrm>
          <a:off x="10153650" y="6115050"/>
          <a:ext cx="561975" cy="152400"/>
        </a:xfrm>
        <a:custGeom>
          <a:avLst/>
          <a:gdLst>
            <a:gd name="G0" fmla="+- 11012 0 0"/>
            <a:gd name="G1" fmla="+- 16848 0 0"/>
            <a:gd name="G2" fmla="+- 9257 0 0"/>
            <a:gd name="G3" fmla="*/ 11012 1 2"/>
            <a:gd name="G4" fmla="+- G3 10800 0"/>
            <a:gd name="G5" fmla="+- 21600 11012 16848"/>
            <a:gd name="G6" fmla="+- 16848 9257 0"/>
            <a:gd name="G7" fmla="*/ G6 1 2"/>
            <a:gd name="G8" fmla="*/ 16848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6848 1 2"/>
            <a:gd name="G15" fmla="+- G5 0 G4"/>
            <a:gd name="G16" fmla="+- G0 0 G4"/>
            <a:gd name="G17" fmla="*/ G2 G15 G16"/>
            <a:gd name="T0" fmla="*/ 16306 w 21600"/>
            <a:gd name="T1" fmla="*/ 0 h 21600"/>
            <a:gd name="T2" fmla="*/ 11012 w 21600"/>
            <a:gd name="T3" fmla="*/ 9257 h 21600"/>
            <a:gd name="T4" fmla="*/ 0 w 21600"/>
            <a:gd name="T5" fmla="*/ 20905 h 21600"/>
            <a:gd name="T6" fmla="*/ 8424 w 21600"/>
            <a:gd name="T7" fmla="*/ 21600 h 21600"/>
            <a:gd name="T8" fmla="*/ 16848 w 21600"/>
            <a:gd name="T9" fmla="*/ 16735 h 21600"/>
            <a:gd name="T10" fmla="*/ 21600 w 21600"/>
            <a:gd name="T11" fmla="*/ 925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306" y="0"/>
              </a:moveTo>
              <a:lnTo>
                <a:pt x="11012" y="9257"/>
              </a:lnTo>
              <a:lnTo>
                <a:pt x="15764" y="9257"/>
              </a:lnTo>
              <a:lnTo>
                <a:pt x="15764" y="20210"/>
              </a:lnTo>
              <a:lnTo>
                <a:pt x="0" y="20210"/>
              </a:lnTo>
              <a:lnTo>
                <a:pt x="0" y="21600"/>
              </a:lnTo>
              <a:lnTo>
                <a:pt x="16848" y="21600"/>
              </a:lnTo>
              <a:lnTo>
                <a:pt x="16848" y="9257"/>
              </a:lnTo>
              <a:lnTo>
                <a:pt x="21600" y="9257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443865</xdr:colOff>
      <xdr:row>0</xdr:row>
      <xdr:rowOff>272415</xdr:rowOff>
    </xdr:from>
    <xdr:to>
      <xdr:col>15</xdr:col>
      <xdr:colOff>365139</xdr:colOff>
      <xdr:row>6</xdr:row>
      <xdr:rowOff>169740</xdr:rowOff>
    </xdr:to>
    <xdr:pic>
      <xdr:nvPicPr>
        <xdr:cNvPr id="10" name="Picture 2" descr="LU4N_Logo ohne Hintergrund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0390" y="272415"/>
          <a:ext cx="1654824" cy="1828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1</xdr:row>
      <xdr:rowOff>140970</xdr:rowOff>
    </xdr:from>
    <xdr:to>
      <xdr:col>11</xdr:col>
      <xdr:colOff>437529</xdr:colOff>
      <xdr:row>10</xdr:row>
      <xdr:rowOff>116400</xdr:rowOff>
    </xdr:to>
    <xdr:pic>
      <xdr:nvPicPr>
        <xdr:cNvPr id="3" name="Picture 2" descr="LU4N_Logo ohne Hintergrun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464820"/>
          <a:ext cx="1670064" cy="185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262890</xdr:rowOff>
    </xdr:from>
    <xdr:to>
      <xdr:col>3</xdr:col>
      <xdr:colOff>466725</xdr:colOff>
      <xdr:row>7</xdr:row>
      <xdr:rowOff>224790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2809875" y="777240"/>
          <a:ext cx="180975" cy="1295400"/>
        </a:xfrm>
        <a:prstGeom prst="rightBrace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8</xdr:col>
      <xdr:colOff>331470</xdr:colOff>
      <xdr:row>0</xdr:row>
      <xdr:rowOff>220980</xdr:rowOff>
    </xdr:from>
    <xdr:to>
      <xdr:col>10</xdr:col>
      <xdr:colOff>439434</xdr:colOff>
      <xdr:row>7</xdr:row>
      <xdr:rowOff>226890</xdr:rowOff>
    </xdr:to>
    <xdr:pic>
      <xdr:nvPicPr>
        <xdr:cNvPr id="4" name="Picture 2" descr="LU4N_Logo ohne Hintergru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9445" y="220980"/>
          <a:ext cx="1666254" cy="185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J70"/>
  <sheetViews>
    <sheetView zoomScale="78" zoomScaleNormal="78" workbookViewId="0">
      <selection activeCell="K1" sqref="K1"/>
    </sheetView>
  </sheetViews>
  <sheetFormatPr baseColWidth="10" defaultColWidth="10.6640625" defaultRowHeight="20.100000000000001" customHeight="1" x14ac:dyDescent="0.25"/>
  <cols>
    <col min="1" max="1" width="37" style="31" customWidth="1"/>
    <col min="2" max="2" width="16.44140625" style="31" customWidth="1"/>
    <col min="3" max="3" width="13.6640625" style="31" customWidth="1"/>
    <col min="4" max="4" width="13.6640625" style="129" customWidth="1"/>
    <col min="5" max="15" width="13.6640625" style="31" customWidth="1"/>
    <col min="16" max="17" width="13.6640625" style="32" customWidth="1"/>
    <col min="18" max="20" width="13.6640625" style="31" customWidth="1"/>
    <col min="21" max="23" width="10.6640625" style="372" customWidth="1"/>
    <col min="24" max="24" width="11.44140625" style="373" customWidth="1"/>
    <col min="25" max="30" width="10.6640625" style="372"/>
    <col min="31" max="32" width="10.6640625" style="365"/>
    <col min="33" max="36" width="10.6640625" style="366"/>
    <col min="37" max="16384" width="10.6640625" style="31"/>
  </cols>
  <sheetData>
    <row r="1" spans="1:36" ht="68.25" customHeight="1" x14ac:dyDescent="0.25">
      <c r="A1" s="28" t="s">
        <v>0</v>
      </c>
      <c r="B1" s="29"/>
      <c r="C1" s="29"/>
      <c r="D1" s="29"/>
      <c r="E1" s="29"/>
      <c r="F1" s="29"/>
      <c r="G1" s="30"/>
      <c r="H1" s="30"/>
      <c r="I1" s="30"/>
      <c r="J1" s="30"/>
      <c r="K1" s="29"/>
      <c r="L1" s="29"/>
      <c r="M1" s="29"/>
      <c r="N1" s="29"/>
      <c r="O1" s="29"/>
      <c r="P1" s="319"/>
      <c r="Q1" s="320"/>
      <c r="R1" s="321"/>
      <c r="S1" s="321"/>
      <c r="T1" s="322"/>
    </row>
    <row r="2" spans="1:36" ht="31.5" customHeight="1" x14ac:dyDescent="0.25">
      <c r="A2" s="33" t="s">
        <v>1</v>
      </c>
      <c r="B2" s="34"/>
      <c r="C2" s="34"/>
      <c r="D2" s="35" t="s">
        <v>2</v>
      </c>
      <c r="E2" s="34"/>
      <c r="F2" s="34"/>
      <c r="G2" s="500" t="s">
        <v>199</v>
      </c>
      <c r="H2" s="500"/>
      <c r="I2" s="500"/>
      <c r="J2" s="500"/>
      <c r="K2" s="500"/>
      <c r="L2" s="34"/>
      <c r="M2" s="34"/>
      <c r="N2" s="34"/>
      <c r="O2" s="34"/>
      <c r="P2" s="323"/>
      <c r="Q2" s="324"/>
      <c r="R2" s="325"/>
      <c r="S2" s="325"/>
      <c r="T2" s="326"/>
    </row>
    <row r="3" spans="1:36" ht="16.5" customHeight="1" thickBot="1" x14ac:dyDescent="0.3">
      <c r="A3" s="37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27"/>
      <c r="Q3" s="328"/>
      <c r="R3" s="328"/>
      <c r="S3" s="328"/>
      <c r="T3" s="329"/>
    </row>
    <row r="4" spans="1:36" ht="22.5" customHeight="1" x14ac:dyDescent="0.25">
      <c r="A4" s="38" t="s">
        <v>3</v>
      </c>
      <c r="B4" s="39"/>
      <c r="C4" s="39"/>
      <c r="D4" s="40"/>
      <c r="E4" s="40"/>
      <c r="F4" s="40"/>
      <c r="G4" s="40"/>
      <c r="H4" s="41">
        <f>99-H6</f>
        <v>99</v>
      </c>
      <c r="I4" s="41">
        <f>99-H5</f>
        <v>89</v>
      </c>
      <c r="J4" s="36"/>
      <c r="K4" s="501" t="s">
        <v>121</v>
      </c>
      <c r="L4" s="502"/>
      <c r="M4" s="502"/>
      <c r="N4" s="503"/>
      <c r="O4" s="36"/>
      <c r="P4" s="495" t="s">
        <v>190</v>
      </c>
      <c r="Q4" s="496"/>
      <c r="R4" s="496"/>
      <c r="S4" s="496"/>
      <c r="T4" s="497"/>
    </row>
    <row r="5" spans="1:36" ht="22.5" customHeight="1" x14ac:dyDescent="0.25">
      <c r="A5" s="42" t="s">
        <v>4</v>
      </c>
      <c r="B5" s="1">
        <v>2</v>
      </c>
      <c r="C5" s="43" t="s">
        <v>5</v>
      </c>
      <c r="D5" s="43" t="s">
        <v>6</v>
      </c>
      <c r="E5" s="43"/>
      <c r="F5" s="43"/>
      <c r="G5" s="43"/>
      <c r="H5" s="2">
        <v>10</v>
      </c>
      <c r="I5" s="43" t="s">
        <v>7</v>
      </c>
      <c r="J5" s="36"/>
      <c r="K5" s="504"/>
      <c r="L5" s="505"/>
      <c r="M5" s="505"/>
      <c r="N5" s="506"/>
      <c r="O5" s="36" t="s">
        <v>8</v>
      </c>
      <c r="P5" s="498"/>
      <c r="Q5" s="496"/>
      <c r="R5" s="496"/>
      <c r="S5" s="496"/>
      <c r="T5" s="497"/>
    </row>
    <row r="6" spans="1:36" ht="22.5" customHeight="1" x14ac:dyDescent="0.25">
      <c r="A6" s="42" t="s">
        <v>9</v>
      </c>
      <c r="B6" s="2">
        <v>7</v>
      </c>
      <c r="C6" s="43" t="s">
        <v>10</v>
      </c>
      <c r="D6" s="43" t="s">
        <v>11</v>
      </c>
      <c r="E6" s="43"/>
      <c r="F6" s="43"/>
      <c r="G6" s="43"/>
      <c r="H6" s="2">
        <v>0</v>
      </c>
      <c r="I6" s="43" t="s">
        <v>7</v>
      </c>
      <c r="J6" s="36"/>
      <c r="K6" s="504"/>
      <c r="L6" s="505"/>
      <c r="M6" s="505"/>
      <c r="N6" s="506"/>
      <c r="O6" s="36"/>
      <c r="P6" s="498"/>
      <c r="Q6" s="496"/>
      <c r="R6" s="496"/>
      <c r="S6" s="496"/>
      <c r="T6" s="497"/>
    </row>
    <row r="7" spans="1:36" ht="22.5" customHeight="1" x14ac:dyDescent="0.25">
      <c r="A7" s="42" t="s">
        <v>12</v>
      </c>
      <c r="B7" s="44">
        <f>B6*B5/10</f>
        <v>1.4</v>
      </c>
      <c r="C7" s="43" t="s">
        <v>13</v>
      </c>
      <c r="D7" s="43" t="s">
        <v>14</v>
      </c>
      <c r="E7" s="43"/>
      <c r="F7" s="43"/>
      <c r="G7" s="43"/>
      <c r="H7" s="45">
        <f>H6+H5</f>
        <v>10</v>
      </c>
      <c r="I7" s="43" t="s">
        <v>7</v>
      </c>
      <c r="J7" s="36"/>
      <c r="K7" s="504"/>
      <c r="L7" s="505"/>
      <c r="M7" s="505"/>
      <c r="N7" s="506"/>
      <c r="O7" s="36"/>
      <c r="P7" s="327"/>
      <c r="Q7" s="328"/>
      <c r="R7" s="328"/>
      <c r="S7" s="328"/>
      <c r="T7" s="329"/>
    </row>
    <row r="8" spans="1:36" ht="20.100000000000001" customHeight="1" x14ac:dyDescent="0.25">
      <c r="A8" s="46" t="s">
        <v>15</v>
      </c>
      <c r="B8" s="47">
        <f>(1-SUM(H5:H6)/100)*B7</f>
        <v>1.26</v>
      </c>
      <c r="C8" s="48" t="s">
        <v>13</v>
      </c>
      <c r="D8" s="510" t="s">
        <v>16</v>
      </c>
      <c r="E8" s="510"/>
      <c r="F8" s="47">
        <f>IF(B8&gt;0,1/B8," ")</f>
        <v>0.79365079365079361</v>
      </c>
      <c r="G8" s="48" t="s">
        <v>17</v>
      </c>
      <c r="H8" s="48"/>
      <c r="I8" s="48"/>
      <c r="J8" s="36"/>
      <c r="K8" s="504"/>
      <c r="L8" s="505"/>
      <c r="M8" s="505"/>
      <c r="N8" s="506"/>
      <c r="O8" s="36"/>
      <c r="P8" s="327"/>
      <c r="Q8" s="328"/>
      <c r="R8" s="328"/>
      <c r="S8" s="328"/>
      <c r="T8" s="329"/>
      <c r="U8" s="373"/>
    </row>
    <row r="9" spans="1:36" ht="6" customHeight="1" thickBot="1" x14ac:dyDescent="0.3">
      <c r="A9" s="37"/>
      <c r="B9" s="36"/>
      <c r="C9" s="36"/>
      <c r="D9" s="49"/>
      <c r="E9" s="36"/>
      <c r="F9" s="36"/>
      <c r="G9" s="36"/>
      <c r="H9" s="36"/>
      <c r="I9" s="36"/>
      <c r="J9" s="36"/>
      <c r="K9" s="504"/>
      <c r="L9" s="505"/>
      <c r="M9" s="505"/>
      <c r="N9" s="506"/>
      <c r="O9" s="36"/>
      <c r="P9" s="323"/>
      <c r="Q9" s="328"/>
      <c r="R9" s="324"/>
      <c r="S9" s="324"/>
      <c r="T9" s="330"/>
      <c r="U9" s="373"/>
    </row>
    <row r="10" spans="1:36" ht="35.25" customHeight="1" thickBot="1" x14ac:dyDescent="0.3">
      <c r="A10" s="50" t="s">
        <v>18</v>
      </c>
      <c r="B10" s="51"/>
      <c r="C10" s="51"/>
      <c r="D10" s="52" t="str">
        <f>Gesamtergebnis!C2</f>
        <v>Stunde</v>
      </c>
      <c r="E10" s="51"/>
      <c r="F10" s="51"/>
      <c r="G10" s="52" t="s">
        <v>19</v>
      </c>
      <c r="H10" s="53" t="str">
        <f>IF(Gesamtergebnis!C2="Hektar","ha","h")</f>
        <v>h</v>
      </c>
      <c r="I10" s="54">
        <f>T32</f>
        <v>70.969401466666682</v>
      </c>
      <c r="J10" s="36"/>
      <c r="K10" s="507"/>
      <c r="L10" s="508"/>
      <c r="M10" s="508"/>
      <c r="N10" s="509"/>
      <c r="O10" s="36"/>
      <c r="P10" s="327"/>
      <c r="Q10" s="328"/>
      <c r="R10" s="328"/>
      <c r="S10" s="328"/>
      <c r="T10" s="329"/>
      <c r="U10" s="373"/>
    </row>
    <row r="11" spans="1:36" ht="13.5" customHeight="1" thickBot="1" x14ac:dyDescent="0.3">
      <c r="A11" s="55"/>
      <c r="B11" s="56"/>
      <c r="C11" s="56"/>
      <c r="D11" s="57">
        <f>IF(Gesamtergebnis!$C$2="Hektar",1,2)</f>
        <v>2</v>
      </c>
      <c r="E11" s="57">
        <f>IF(E13="Hektar",1,2)</f>
        <v>2</v>
      </c>
      <c r="F11" s="56"/>
      <c r="G11" s="57">
        <f>IF(Gesamtergebnis!$C$2="Hektar",1,2)</f>
        <v>2</v>
      </c>
      <c r="H11" s="57">
        <f>IF(H13="Hektar",1,2)</f>
        <v>1</v>
      </c>
      <c r="I11" s="56"/>
      <c r="J11" s="57">
        <f>IF(Gesamtergebnis!$C$2="Hektar",1,2)</f>
        <v>2</v>
      </c>
      <c r="K11" s="57">
        <f>IF(K13="Hektar",1,2)</f>
        <v>1</v>
      </c>
      <c r="L11" s="56"/>
      <c r="M11" s="57">
        <f>IF(Gesamtergebnis!$C$2="Hektar",1,2)</f>
        <v>2</v>
      </c>
      <c r="N11" s="57">
        <f>IF(N13="Hektar",1,2)</f>
        <v>1</v>
      </c>
      <c r="O11" s="56"/>
      <c r="P11" s="331">
        <f>IF(Gesamtergebnis!$C$2="Hektar",1,2)</f>
        <v>2</v>
      </c>
      <c r="Q11" s="332">
        <f>IF(Q13="Hektar",1,2)</f>
        <v>2</v>
      </c>
      <c r="R11" s="333"/>
      <c r="S11" s="333"/>
      <c r="T11" s="334"/>
      <c r="V11" s="374"/>
      <c r="W11" s="374"/>
    </row>
    <row r="12" spans="1:36" s="59" customFormat="1" ht="24.6" customHeight="1" x14ac:dyDescent="0.25">
      <c r="A12" s="318" t="s">
        <v>165</v>
      </c>
      <c r="B12" s="58"/>
      <c r="C12" s="494" t="s">
        <v>200</v>
      </c>
      <c r="D12" s="494"/>
      <c r="E12" s="494"/>
      <c r="F12" s="494" t="s">
        <v>201</v>
      </c>
      <c r="G12" s="494"/>
      <c r="H12" s="494"/>
      <c r="I12" s="494" t="s">
        <v>202</v>
      </c>
      <c r="J12" s="494"/>
      <c r="K12" s="494"/>
      <c r="L12" s="494"/>
      <c r="M12" s="494"/>
      <c r="N12" s="494"/>
      <c r="O12" s="494"/>
      <c r="P12" s="494"/>
      <c r="Q12" s="494"/>
      <c r="R12" s="511" t="s">
        <v>20</v>
      </c>
      <c r="S12" s="511"/>
      <c r="T12" s="512"/>
      <c r="U12" s="375"/>
      <c r="V12" s="376" t="str">
        <f>IF(E14&gt;0,C12," ")</f>
        <v>Schlepper 130 kW</v>
      </c>
      <c r="W12" s="375"/>
      <c r="X12" s="375"/>
      <c r="Y12" s="375"/>
      <c r="Z12" s="375"/>
      <c r="AA12" s="375"/>
      <c r="AB12" s="375"/>
      <c r="AC12" s="375"/>
      <c r="AD12" s="375"/>
      <c r="AE12" s="367"/>
      <c r="AF12" s="367"/>
      <c r="AG12" s="369"/>
      <c r="AH12" s="369"/>
      <c r="AI12" s="369"/>
      <c r="AJ12" s="369"/>
    </row>
    <row r="13" spans="1:36" s="59" customFormat="1" ht="18.75" customHeight="1" x14ac:dyDescent="0.25">
      <c r="A13" s="61" t="s">
        <v>21</v>
      </c>
      <c r="B13" s="62"/>
      <c r="C13" s="63"/>
      <c r="D13" s="63"/>
      <c r="E13" s="3" t="s">
        <v>22</v>
      </c>
      <c r="F13" s="63"/>
      <c r="G13" s="63"/>
      <c r="H13" s="3" t="s">
        <v>168</v>
      </c>
      <c r="I13" s="63"/>
      <c r="J13" s="63"/>
      <c r="K13" s="3" t="s">
        <v>168</v>
      </c>
      <c r="L13" s="63"/>
      <c r="M13" s="63"/>
      <c r="N13" s="3" t="s">
        <v>168</v>
      </c>
      <c r="O13" s="63"/>
      <c r="P13" s="63"/>
      <c r="Q13" s="3" t="s">
        <v>22</v>
      </c>
      <c r="R13" s="63"/>
      <c r="S13" s="62"/>
      <c r="T13" s="64" t="str">
        <f>Gesamtergebnis!$C$2</f>
        <v>Stunde</v>
      </c>
      <c r="U13" s="375"/>
      <c r="V13" s="376" t="str">
        <f>IF(H14&gt;0,F12," ")</f>
        <v>Pflug 5furchig</v>
      </c>
      <c r="W13" s="375"/>
      <c r="X13" s="375"/>
      <c r="Y13" s="375"/>
      <c r="Z13" s="375"/>
      <c r="AA13" s="375"/>
      <c r="AB13" s="375"/>
      <c r="AC13" s="375"/>
      <c r="AD13" s="375"/>
      <c r="AE13" s="367"/>
      <c r="AF13" s="367"/>
      <c r="AG13" s="369"/>
      <c r="AH13" s="369"/>
      <c r="AI13" s="369"/>
      <c r="AJ13" s="369"/>
    </row>
    <row r="14" spans="1:36" s="59" customFormat="1" ht="18.75" customHeight="1" x14ac:dyDescent="0.25">
      <c r="A14" s="65" t="s">
        <v>23</v>
      </c>
      <c r="B14" s="66"/>
      <c r="C14" s="499" t="s">
        <v>24</v>
      </c>
      <c r="D14" s="499"/>
      <c r="E14" s="4">
        <v>180000</v>
      </c>
      <c r="F14" s="499" t="s">
        <v>24</v>
      </c>
      <c r="G14" s="499"/>
      <c r="H14" s="4">
        <v>25000</v>
      </c>
      <c r="I14" s="499" t="s">
        <v>24</v>
      </c>
      <c r="J14" s="499"/>
      <c r="K14" s="4">
        <v>6000</v>
      </c>
      <c r="L14" s="499" t="s">
        <v>120</v>
      </c>
      <c r="M14" s="499"/>
      <c r="N14" s="4"/>
      <c r="O14" s="499" t="s">
        <v>24</v>
      </c>
      <c r="P14" s="499"/>
      <c r="Q14" s="4"/>
      <c r="R14" s="499" t="s">
        <v>24</v>
      </c>
      <c r="S14" s="499"/>
      <c r="T14" s="67">
        <f>SUM(B14:S14)</f>
        <v>211000</v>
      </c>
      <c r="U14" s="375"/>
      <c r="V14" s="376" t="str">
        <f>IF(K14&gt;0,I12," ")</f>
        <v>Packer 90</v>
      </c>
      <c r="W14" s="375"/>
      <c r="X14" s="375"/>
      <c r="Y14" s="375"/>
      <c r="Z14" s="375"/>
      <c r="AA14" s="375"/>
      <c r="AB14" s="375"/>
      <c r="AC14" s="375"/>
      <c r="AD14" s="375"/>
      <c r="AE14" s="367"/>
      <c r="AF14" s="367"/>
      <c r="AG14" s="369"/>
      <c r="AH14" s="369"/>
      <c r="AI14" s="369"/>
      <c r="AJ14" s="369"/>
    </row>
    <row r="15" spans="1:36" s="59" customFormat="1" ht="18.75" customHeight="1" x14ac:dyDescent="0.25">
      <c r="A15" s="68" t="s">
        <v>25</v>
      </c>
      <c r="B15" s="69"/>
      <c r="C15" s="499" t="s">
        <v>24</v>
      </c>
      <c r="D15" s="499"/>
      <c r="E15" s="4">
        <v>60000</v>
      </c>
      <c r="F15" s="499" t="s">
        <v>24</v>
      </c>
      <c r="G15" s="499"/>
      <c r="H15" s="4">
        <v>5000</v>
      </c>
      <c r="I15" s="499" t="s">
        <v>24</v>
      </c>
      <c r="J15" s="499"/>
      <c r="K15" s="4">
        <v>2000</v>
      </c>
      <c r="L15" s="499" t="s">
        <v>24</v>
      </c>
      <c r="M15" s="499"/>
      <c r="N15" s="4"/>
      <c r="O15" s="499" t="s">
        <v>24</v>
      </c>
      <c r="P15" s="499"/>
      <c r="Q15" s="4"/>
      <c r="R15" s="499" t="s">
        <v>24</v>
      </c>
      <c r="S15" s="499"/>
      <c r="T15" s="67">
        <f>SUM(B15:S15)</f>
        <v>67000</v>
      </c>
      <c r="U15" s="375"/>
      <c r="V15" s="376" t="str">
        <f>IF(N14&gt;0,L12," ")</f>
        <v xml:space="preserve"> </v>
      </c>
      <c r="W15" s="375"/>
      <c r="X15" s="375"/>
      <c r="Y15" s="375"/>
      <c r="Z15" s="375"/>
      <c r="AA15" s="375"/>
      <c r="AB15" s="375"/>
      <c r="AC15" s="375"/>
      <c r="AD15" s="375"/>
      <c r="AE15" s="367"/>
      <c r="AF15" s="367"/>
      <c r="AG15" s="369"/>
      <c r="AH15" s="369"/>
      <c r="AI15" s="369"/>
      <c r="AJ15" s="369"/>
    </row>
    <row r="16" spans="1:36" s="59" customFormat="1" ht="18.75" customHeight="1" x14ac:dyDescent="0.25">
      <c r="A16" s="68" t="s">
        <v>26</v>
      </c>
      <c r="B16" s="69"/>
      <c r="C16" s="499" t="s">
        <v>27</v>
      </c>
      <c r="D16" s="499"/>
      <c r="E16" s="4">
        <v>10</v>
      </c>
      <c r="F16" s="499" t="s">
        <v>27</v>
      </c>
      <c r="G16" s="499"/>
      <c r="H16" s="4">
        <v>12</v>
      </c>
      <c r="I16" s="499" t="s">
        <v>27</v>
      </c>
      <c r="J16" s="499"/>
      <c r="K16" s="4">
        <v>12</v>
      </c>
      <c r="L16" s="499" t="s">
        <v>27</v>
      </c>
      <c r="M16" s="499"/>
      <c r="N16" s="4"/>
      <c r="O16" s="499" t="s">
        <v>27</v>
      </c>
      <c r="P16" s="499"/>
      <c r="Q16" s="4"/>
      <c r="R16" s="499" t="s">
        <v>27</v>
      </c>
      <c r="S16" s="499"/>
      <c r="T16" s="67">
        <f>AVERAGE(B16:S16)</f>
        <v>11.333333333333334</v>
      </c>
      <c r="U16" s="375"/>
      <c r="V16" s="376" t="str">
        <f>IF(Q14&gt;0,O12," ")</f>
        <v xml:space="preserve"> </v>
      </c>
      <c r="W16" s="375"/>
      <c r="X16" s="375"/>
      <c r="Y16" s="375"/>
      <c r="Z16" s="375"/>
      <c r="AA16" s="375"/>
      <c r="AB16" s="375"/>
      <c r="AC16" s="375"/>
      <c r="AD16" s="375"/>
      <c r="AE16" s="367"/>
      <c r="AF16" s="367"/>
      <c r="AG16" s="369"/>
      <c r="AH16" s="369"/>
      <c r="AI16" s="369"/>
      <c r="AJ16" s="369"/>
    </row>
    <row r="17" spans="1:36" s="59" customFormat="1" ht="18.75" customHeight="1" x14ac:dyDescent="0.25">
      <c r="A17" s="65" t="s">
        <v>28</v>
      </c>
      <c r="B17" s="66"/>
      <c r="C17" s="70" t="s">
        <v>19</v>
      </c>
      <c r="D17" s="71" t="s">
        <v>29</v>
      </c>
      <c r="E17" s="72">
        <f>IF(E16&gt;0,(E14-E15)/E16," ")</f>
        <v>12000</v>
      </c>
      <c r="F17" s="70" t="s">
        <v>19</v>
      </c>
      <c r="G17" s="71" t="s">
        <v>29</v>
      </c>
      <c r="H17" s="72">
        <f>IF(H16&gt;0,(H14-H15)/H16," ")</f>
        <v>1666.6666666666667</v>
      </c>
      <c r="I17" s="70" t="s">
        <v>19</v>
      </c>
      <c r="J17" s="71" t="s">
        <v>29</v>
      </c>
      <c r="K17" s="72">
        <f>IF(K16&gt;0,(K14-K15)/K16," ")</f>
        <v>333.33333333333331</v>
      </c>
      <c r="L17" s="70" t="s">
        <v>19</v>
      </c>
      <c r="M17" s="71" t="s">
        <v>29</v>
      </c>
      <c r="N17" s="72" t="str">
        <f>IF(N16&gt;0,(N14-N15)/N16," ")</f>
        <v xml:space="preserve"> </v>
      </c>
      <c r="O17" s="70" t="s">
        <v>19</v>
      </c>
      <c r="P17" s="71" t="s">
        <v>29</v>
      </c>
      <c r="Q17" s="72" t="str">
        <f>IF(Q16&gt;0,(Q14-Q15)/Q16," ")</f>
        <v xml:space="preserve"> </v>
      </c>
      <c r="R17" s="70" t="s">
        <v>19</v>
      </c>
      <c r="S17" s="71" t="s">
        <v>29</v>
      </c>
      <c r="T17" s="73">
        <f t="shared" ref="T17:T22" si="0">SUM(B17:S17)</f>
        <v>14000</v>
      </c>
      <c r="U17" s="375"/>
      <c r="V17" s="376"/>
      <c r="W17" s="375"/>
      <c r="X17" s="375"/>
      <c r="Y17" s="375"/>
      <c r="Z17" s="375"/>
      <c r="AA17" s="375"/>
      <c r="AB17" s="375"/>
      <c r="AC17" s="375"/>
      <c r="AD17" s="375"/>
      <c r="AE17" s="367"/>
      <c r="AF17" s="367"/>
      <c r="AG17" s="369"/>
      <c r="AH17" s="369"/>
      <c r="AI17" s="369"/>
      <c r="AJ17" s="369"/>
    </row>
    <row r="18" spans="1:36" s="59" customFormat="1" ht="18.75" customHeight="1" x14ac:dyDescent="0.25">
      <c r="A18" s="74" t="s">
        <v>125</v>
      </c>
      <c r="B18" s="66"/>
      <c r="C18" s="499" t="s">
        <v>7</v>
      </c>
      <c r="D18" s="499"/>
      <c r="E18" s="5">
        <v>0.02</v>
      </c>
      <c r="F18" s="499" t="s">
        <v>7</v>
      </c>
      <c r="G18" s="499"/>
      <c r="H18" s="5">
        <v>0.02</v>
      </c>
      <c r="I18" s="499" t="s">
        <v>7</v>
      </c>
      <c r="J18" s="499"/>
      <c r="K18" s="5">
        <v>0.02</v>
      </c>
      <c r="L18" s="75" t="s">
        <v>7</v>
      </c>
      <c r="M18" s="76"/>
      <c r="N18" s="5"/>
      <c r="O18" s="499" t="s">
        <v>7</v>
      </c>
      <c r="P18" s="499"/>
      <c r="Q18" s="5"/>
      <c r="R18" s="499" t="s">
        <v>7</v>
      </c>
      <c r="S18" s="499"/>
      <c r="T18" s="77">
        <f>AVERAGE(Q18,N18,K18,H18,E18)</f>
        <v>0.02</v>
      </c>
      <c r="U18" s="375"/>
      <c r="V18" s="376"/>
      <c r="W18" s="375"/>
      <c r="X18" s="375"/>
      <c r="Y18" s="375"/>
      <c r="Z18" s="375"/>
      <c r="AA18" s="375"/>
      <c r="AB18" s="375"/>
      <c r="AC18" s="375"/>
      <c r="AD18" s="375"/>
      <c r="AE18" s="367"/>
      <c r="AF18" s="367"/>
      <c r="AG18" s="369"/>
      <c r="AH18" s="369"/>
      <c r="AI18" s="369"/>
      <c r="AJ18" s="369"/>
    </row>
    <row r="19" spans="1:36" s="59" customFormat="1" ht="18.75" customHeight="1" x14ac:dyDescent="0.25">
      <c r="A19" s="65" t="s">
        <v>30</v>
      </c>
      <c r="B19" s="66"/>
      <c r="C19" s="70" t="s">
        <v>19</v>
      </c>
      <c r="D19" s="71" t="s">
        <v>29</v>
      </c>
      <c r="E19" s="72">
        <f>(E15+E14)/2*E18</f>
        <v>2400</v>
      </c>
      <c r="F19" s="70" t="s">
        <v>19</v>
      </c>
      <c r="G19" s="71" t="s">
        <v>29</v>
      </c>
      <c r="H19" s="72">
        <f>(H15+H14)/2*H18</f>
        <v>300</v>
      </c>
      <c r="I19" s="70" t="s">
        <v>19</v>
      </c>
      <c r="J19" s="71" t="s">
        <v>29</v>
      </c>
      <c r="K19" s="72">
        <f>(K15+K14)/2*K18</f>
        <v>80</v>
      </c>
      <c r="L19" s="70" t="s">
        <v>19</v>
      </c>
      <c r="M19" s="71" t="s">
        <v>29</v>
      </c>
      <c r="N19" s="72">
        <f>(N15+N14)/2*N18</f>
        <v>0</v>
      </c>
      <c r="O19" s="70" t="s">
        <v>19</v>
      </c>
      <c r="P19" s="71" t="s">
        <v>29</v>
      </c>
      <c r="Q19" s="72">
        <f>(Q15+Q14)/2*Q18</f>
        <v>0</v>
      </c>
      <c r="R19" s="70" t="s">
        <v>19</v>
      </c>
      <c r="S19" s="71" t="s">
        <v>29</v>
      </c>
      <c r="T19" s="73">
        <f t="shared" si="0"/>
        <v>2780</v>
      </c>
      <c r="U19" s="375"/>
      <c r="V19" s="376"/>
      <c r="W19" s="375"/>
      <c r="X19" s="375"/>
      <c r="Y19" s="375"/>
      <c r="Z19" s="375"/>
      <c r="AA19" s="375"/>
      <c r="AB19" s="375"/>
      <c r="AC19" s="375"/>
      <c r="AD19" s="375"/>
      <c r="AE19" s="367"/>
      <c r="AF19" s="367"/>
      <c r="AG19" s="369"/>
      <c r="AH19" s="369"/>
      <c r="AI19" s="369"/>
      <c r="AJ19" s="369"/>
    </row>
    <row r="20" spans="1:36" s="59" customFormat="1" ht="18.75" customHeight="1" x14ac:dyDescent="0.25">
      <c r="A20" s="65" t="s">
        <v>135</v>
      </c>
      <c r="B20" s="66"/>
      <c r="C20" s="70" t="s">
        <v>19</v>
      </c>
      <c r="D20" s="71" t="s">
        <v>29</v>
      </c>
      <c r="E20" s="6">
        <v>1500</v>
      </c>
      <c r="F20" s="70" t="s">
        <v>19</v>
      </c>
      <c r="G20" s="71" t="s">
        <v>29</v>
      </c>
      <c r="H20" s="6">
        <v>0</v>
      </c>
      <c r="I20" s="70" t="s">
        <v>19</v>
      </c>
      <c r="J20" s="71" t="s">
        <v>29</v>
      </c>
      <c r="K20" s="6">
        <v>0</v>
      </c>
      <c r="L20" s="70" t="s">
        <v>19</v>
      </c>
      <c r="M20" s="71" t="s">
        <v>29</v>
      </c>
      <c r="N20" s="6"/>
      <c r="O20" s="70" t="s">
        <v>19</v>
      </c>
      <c r="P20" s="71" t="s">
        <v>29</v>
      </c>
      <c r="Q20" s="6"/>
      <c r="R20" s="70" t="s">
        <v>19</v>
      </c>
      <c r="S20" s="71" t="s">
        <v>29</v>
      </c>
      <c r="T20" s="73">
        <f t="shared" si="0"/>
        <v>1500</v>
      </c>
      <c r="U20" s="375"/>
      <c r="V20" s="376"/>
      <c r="W20" s="375"/>
      <c r="X20" s="375"/>
      <c r="Y20" s="375"/>
      <c r="Z20" s="375"/>
      <c r="AA20" s="375"/>
      <c r="AB20" s="375"/>
      <c r="AC20" s="375"/>
      <c r="AD20" s="375"/>
      <c r="AE20" s="367"/>
      <c r="AF20" s="367"/>
      <c r="AG20" s="369"/>
      <c r="AH20" s="369"/>
      <c r="AI20" s="369"/>
      <c r="AJ20" s="369"/>
    </row>
    <row r="21" spans="1:36" s="59" customFormat="1" ht="18.75" customHeight="1" x14ac:dyDescent="0.25">
      <c r="A21" s="78" t="s">
        <v>31</v>
      </c>
      <c r="B21" s="79"/>
      <c r="C21" s="80" t="s">
        <v>19</v>
      </c>
      <c r="D21" s="79" t="s">
        <v>29</v>
      </c>
      <c r="E21" s="81">
        <f>SUM(E17:E20)</f>
        <v>15900.02</v>
      </c>
      <c r="F21" s="80" t="s">
        <v>19</v>
      </c>
      <c r="G21" s="79" t="s">
        <v>120</v>
      </c>
      <c r="H21" s="81">
        <f>SUM(H17:H20)</f>
        <v>1966.6866666666667</v>
      </c>
      <c r="I21" s="80" t="s">
        <v>19</v>
      </c>
      <c r="J21" s="79" t="s">
        <v>29</v>
      </c>
      <c r="K21" s="81">
        <f>SUM(K17:K20)</f>
        <v>413.3533333333333</v>
      </c>
      <c r="L21" s="80" t="s">
        <v>19</v>
      </c>
      <c r="M21" s="79" t="s">
        <v>29</v>
      </c>
      <c r="N21" s="81">
        <f>SUM(N17:N20)</f>
        <v>0</v>
      </c>
      <c r="O21" s="80" t="s">
        <v>19</v>
      </c>
      <c r="P21" s="79" t="s">
        <v>29</v>
      </c>
      <c r="Q21" s="81">
        <f>SUM(Q17:Q20)</f>
        <v>0</v>
      </c>
      <c r="R21" s="80" t="s">
        <v>19</v>
      </c>
      <c r="S21" s="79" t="s">
        <v>29</v>
      </c>
      <c r="T21" s="82">
        <f t="shared" si="0"/>
        <v>18280.060000000001</v>
      </c>
      <c r="U21" s="375"/>
      <c r="V21" s="376"/>
      <c r="W21" s="375"/>
      <c r="X21" s="375"/>
      <c r="Y21" s="375"/>
      <c r="Z21" s="375"/>
      <c r="AA21" s="375"/>
      <c r="AB21" s="375"/>
      <c r="AC21" s="375"/>
      <c r="AD21" s="375"/>
      <c r="AE21" s="367"/>
      <c r="AF21" s="367"/>
      <c r="AG21" s="369"/>
      <c r="AH21" s="369"/>
      <c r="AI21" s="369"/>
      <c r="AJ21" s="369"/>
    </row>
    <row r="22" spans="1:36" s="59" customFormat="1" ht="18.75" customHeight="1" x14ac:dyDescent="0.25">
      <c r="A22" s="68" t="s">
        <v>32</v>
      </c>
      <c r="B22" s="70" t="s">
        <v>33</v>
      </c>
      <c r="C22" s="70" t="s">
        <v>34</v>
      </c>
      <c r="D22" s="71" t="str">
        <f>IF(E13="Hektar","ha","h")</f>
        <v>h</v>
      </c>
      <c r="E22" s="7">
        <v>24</v>
      </c>
      <c r="F22" s="70" t="s">
        <v>34</v>
      </c>
      <c r="G22" s="71" t="str">
        <f>IF(H13="Hektar","ha","h")</f>
        <v>ha</v>
      </c>
      <c r="H22" s="7"/>
      <c r="I22" s="70" t="s">
        <v>34</v>
      </c>
      <c r="J22" s="71" t="str">
        <f>IF(K13="Hektar","ha","h")</f>
        <v>ha</v>
      </c>
      <c r="K22" s="7"/>
      <c r="L22" s="70" t="s">
        <v>34</v>
      </c>
      <c r="M22" s="71" t="str">
        <f>IF(N13="Hektar","ha","h")</f>
        <v>ha</v>
      </c>
      <c r="N22" s="7"/>
      <c r="O22" s="70" t="s">
        <v>34</v>
      </c>
      <c r="P22" s="71" t="str">
        <f>IF(Q13="Hektar","ha","h")</f>
        <v>h</v>
      </c>
      <c r="Q22" s="7"/>
      <c r="R22" s="70" t="s">
        <v>34</v>
      </c>
      <c r="S22" s="71" t="str">
        <f>IF(T13="Hektar","ha","h")</f>
        <v>h</v>
      </c>
      <c r="T22" s="83">
        <f t="shared" si="0"/>
        <v>24</v>
      </c>
      <c r="U22" s="375"/>
      <c r="V22" s="376"/>
      <c r="W22" s="375" t="s">
        <v>134</v>
      </c>
      <c r="X22" s="375"/>
      <c r="Y22" s="375"/>
      <c r="Z22" s="375"/>
      <c r="AA22" s="375"/>
      <c r="AB22" s="375"/>
      <c r="AC22" s="375"/>
      <c r="AD22" s="375"/>
      <c r="AE22" s="367"/>
      <c r="AF22" s="367"/>
      <c r="AG22" s="369"/>
      <c r="AH22" s="369"/>
      <c r="AI22" s="369"/>
      <c r="AJ22" s="369"/>
    </row>
    <row r="23" spans="1:36" s="59" customFormat="1" ht="18.75" customHeight="1" x14ac:dyDescent="0.25">
      <c r="A23" s="68"/>
      <c r="B23" s="70" t="s">
        <v>35</v>
      </c>
      <c r="C23" s="70" t="s">
        <v>19</v>
      </c>
      <c r="D23" s="71" t="s">
        <v>36</v>
      </c>
      <c r="E23" s="7">
        <v>1.2</v>
      </c>
      <c r="F23" s="70" t="s">
        <v>19</v>
      </c>
      <c r="G23" s="71" t="s">
        <v>36</v>
      </c>
      <c r="H23" s="7"/>
      <c r="I23" s="70" t="s">
        <v>19</v>
      </c>
      <c r="J23" s="71" t="s">
        <v>36</v>
      </c>
      <c r="K23" s="7"/>
      <c r="L23" s="70" t="s">
        <v>19</v>
      </c>
      <c r="M23" s="71" t="s">
        <v>36</v>
      </c>
      <c r="N23" s="7"/>
      <c r="O23" s="70" t="s">
        <v>19</v>
      </c>
      <c r="P23" s="71" t="s">
        <v>36</v>
      </c>
      <c r="Q23" s="7"/>
      <c r="R23" s="70"/>
      <c r="S23" s="71"/>
      <c r="T23" s="83"/>
      <c r="U23" s="375"/>
      <c r="V23" s="376"/>
      <c r="W23" s="375"/>
      <c r="X23" s="375"/>
      <c r="Y23" s="375"/>
      <c r="Z23" s="375"/>
      <c r="AA23" s="375"/>
      <c r="AB23" s="375"/>
      <c r="AC23" s="375"/>
      <c r="AD23" s="375"/>
      <c r="AE23" s="367"/>
      <c r="AF23" s="367"/>
      <c r="AG23" s="369"/>
      <c r="AH23" s="369"/>
      <c r="AI23" s="369"/>
      <c r="AJ23" s="369"/>
    </row>
    <row r="24" spans="1:36" s="59" customFormat="1" ht="18.75" customHeight="1" x14ac:dyDescent="0.25">
      <c r="A24" s="68"/>
      <c r="B24" s="70" t="s">
        <v>37</v>
      </c>
      <c r="C24" s="70" t="s">
        <v>19</v>
      </c>
      <c r="D24" s="71" t="str">
        <f>D22</f>
        <v>h</v>
      </c>
      <c r="E24" s="84">
        <f>E23*E22</f>
        <v>28.799999999999997</v>
      </c>
      <c r="F24" s="70" t="s">
        <v>19</v>
      </c>
      <c r="G24" s="71" t="str">
        <f>G22</f>
        <v>ha</v>
      </c>
      <c r="H24" s="84">
        <f>H23*H22</f>
        <v>0</v>
      </c>
      <c r="I24" s="70" t="s">
        <v>19</v>
      </c>
      <c r="J24" s="71" t="str">
        <f>J22</f>
        <v>ha</v>
      </c>
      <c r="K24" s="84">
        <f>K23*K22</f>
        <v>0</v>
      </c>
      <c r="L24" s="70" t="s">
        <v>19</v>
      </c>
      <c r="M24" s="71" t="str">
        <f>M22</f>
        <v>ha</v>
      </c>
      <c r="N24" s="84">
        <f>N23*N22</f>
        <v>0</v>
      </c>
      <c r="O24" s="70" t="s">
        <v>19</v>
      </c>
      <c r="P24" s="71" t="str">
        <f>P22</f>
        <v>h</v>
      </c>
      <c r="Q24" s="84">
        <f>Q23*Q22</f>
        <v>0</v>
      </c>
      <c r="R24" s="70" t="s">
        <v>19</v>
      </c>
      <c r="S24" s="71" t="str">
        <f>S22</f>
        <v>h</v>
      </c>
      <c r="T24" s="83">
        <f>SUM(B24:S24)</f>
        <v>28.799999999999997</v>
      </c>
      <c r="U24" s="375"/>
      <c r="V24" s="376"/>
      <c r="W24" s="375"/>
      <c r="X24" s="375"/>
      <c r="Y24" s="375"/>
      <c r="Z24" s="375"/>
      <c r="AA24" s="375"/>
      <c r="AB24" s="375"/>
      <c r="AC24" s="375"/>
      <c r="AD24" s="375"/>
      <c r="AE24" s="367"/>
      <c r="AF24" s="367"/>
      <c r="AG24" s="369"/>
      <c r="AH24" s="369"/>
      <c r="AI24" s="369"/>
      <c r="AJ24" s="369"/>
    </row>
    <row r="25" spans="1:36" s="59" customFormat="1" ht="18.75" customHeight="1" x14ac:dyDescent="0.25">
      <c r="A25" s="74" t="s">
        <v>38</v>
      </c>
      <c r="B25" s="71"/>
      <c r="C25" s="70" t="s">
        <v>19</v>
      </c>
      <c r="D25" s="71" t="str">
        <f>D22</f>
        <v>h</v>
      </c>
      <c r="E25" s="7">
        <v>1</v>
      </c>
      <c r="F25" s="70" t="s">
        <v>19</v>
      </c>
      <c r="G25" s="71" t="str">
        <f>G22</f>
        <v>ha</v>
      </c>
      <c r="H25" s="7">
        <v>0.5</v>
      </c>
      <c r="I25" s="70" t="s">
        <v>19</v>
      </c>
      <c r="J25" s="71" t="str">
        <f>J22</f>
        <v>ha</v>
      </c>
      <c r="K25" s="7">
        <v>0.1</v>
      </c>
      <c r="L25" s="70" t="s">
        <v>19</v>
      </c>
      <c r="M25" s="71" t="str">
        <f>M22</f>
        <v>ha</v>
      </c>
      <c r="N25" s="7"/>
      <c r="O25" s="70" t="s">
        <v>19</v>
      </c>
      <c r="P25" s="71" t="str">
        <f>P22</f>
        <v>h</v>
      </c>
      <c r="Q25" s="7"/>
      <c r="R25" s="70" t="s">
        <v>19</v>
      </c>
      <c r="S25" s="71" t="str">
        <f>S22</f>
        <v>h</v>
      </c>
      <c r="T25" s="83">
        <f>SUM(B25:S25)</f>
        <v>1.6</v>
      </c>
      <c r="U25" s="375"/>
      <c r="V25" s="376"/>
      <c r="W25" s="375"/>
      <c r="X25" s="375"/>
      <c r="Y25" s="375"/>
      <c r="Z25" s="375"/>
      <c r="AA25" s="375"/>
      <c r="AB25" s="375"/>
      <c r="AC25" s="375"/>
      <c r="AD25" s="375"/>
      <c r="AE25" s="367"/>
      <c r="AF25" s="367"/>
      <c r="AG25" s="369"/>
      <c r="AH25" s="369"/>
      <c r="AI25" s="369"/>
      <c r="AJ25" s="369"/>
    </row>
    <row r="26" spans="1:36" s="59" customFormat="1" ht="18.75" customHeight="1" x14ac:dyDescent="0.25">
      <c r="A26" s="74" t="s">
        <v>39</v>
      </c>
      <c r="B26" s="71"/>
      <c r="C26" s="70" t="s">
        <v>19</v>
      </c>
      <c r="D26" s="71" t="str">
        <f>D22</f>
        <v>h</v>
      </c>
      <c r="E26" s="7"/>
      <c r="F26" s="70" t="s">
        <v>19</v>
      </c>
      <c r="G26" s="71" t="str">
        <f>G22</f>
        <v>ha</v>
      </c>
      <c r="H26" s="7"/>
      <c r="I26" s="70" t="s">
        <v>19</v>
      </c>
      <c r="J26" s="71" t="str">
        <f>J22</f>
        <v>ha</v>
      </c>
      <c r="K26" s="7"/>
      <c r="L26" s="70" t="s">
        <v>19</v>
      </c>
      <c r="M26" s="71" t="str">
        <f>M22</f>
        <v>ha</v>
      </c>
      <c r="N26" s="7"/>
      <c r="O26" s="70" t="s">
        <v>19</v>
      </c>
      <c r="P26" s="71" t="str">
        <f>P22</f>
        <v>h</v>
      </c>
      <c r="Q26" s="7"/>
      <c r="R26" s="70" t="s">
        <v>19</v>
      </c>
      <c r="S26" s="71" t="str">
        <f>S22</f>
        <v>h</v>
      </c>
      <c r="T26" s="83">
        <f>SUM(B26:S26)</f>
        <v>0</v>
      </c>
      <c r="U26" s="375"/>
      <c r="V26" s="376"/>
      <c r="W26" s="375"/>
      <c r="X26" s="375"/>
      <c r="Y26" s="375"/>
      <c r="Z26" s="375"/>
      <c r="AA26" s="375"/>
      <c r="AB26" s="375"/>
      <c r="AC26" s="375"/>
      <c r="AD26" s="375"/>
      <c r="AE26" s="367"/>
      <c r="AF26" s="367"/>
      <c r="AG26" s="369"/>
      <c r="AH26" s="369"/>
      <c r="AI26" s="369"/>
      <c r="AJ26" s="369"/>
    </row>
    <row r="27" spans="1:36" s="59" customFormat="1" ht="18.75" customHeight="1" x14ac:dyDescent="0.25">
      <c r="A27" s="68" t="s">
        <v>124</v>
      </c>
      <c r="B27" s="69"/>
      <c r="C27" s="70" t="s">
        <v>19</v>
      </c>
      <c r="D27" s="71" t="str">
        <f>D22</f>
        <v>h</v>
      </c>
      <c r="E27" s="7">
        <v>8</v>
      </c>
      <c r="F27" s="70" t="s">
        <v>19</v>
      </c>
      <c r="G27" s="71" t="str">
        <f>G22</f>
        <v>ha</v>
      </c>
      <c r="H27" s="7">
        <v>5</v>
      </c>
      <c r="I27" s="70" t="s">
        <v>19</v>
      </c>
      <c r="J27" s="71" t="str">
        <f>J22</f>
        <v>ha</v>
      </c>
      <c r="K27" s="7">
        <v>2</v>
      </c>
      <c r="L27" s="70" t="s">
        <v>19</v>
      </c>
      <c r="M27" s="71" t="str">
        <f>M22</f>
        <v>ha</v>
      </c>
      <c r="N27" s="7"/>
      <c r="O27" s="70" t="s">
        <v>19</v>
      </c>
      <c r="P27" s="71" t="str">
        <f>P22</f>
        <v>h</v>
      </c>
      <c r="Q27" s="7"/>
      <c r="R27" s="70" t="s">
        <v>19</v>
      </c>
      <c r="S27" s="71" t="str">
        <f>S22</f>
        <v>h</v>
      </c>
      <c r="T27" s="83">
        <f>SUM(B27:S27)</f>
        <v>15</v>
      </c>
      <c r="U27" s="375"/>
      <c r="V27" s="376"/>
      <c r="W27" s="375"/>
      <c r="X27" s="375"/>
      <c r="Y27" s="375"/>
      <c r="Z27" s="375"/>
      <c r="AA27" s="375"/>
      <c r="AB27" s="375"/>
      <c r="AC27" s="375"/>
      <c r="AD27" s="375"/>
      <c r="AE27" s="367"/>
      <c r="AF27" s="367"/>
      <c r="AG27" s="369"/>
      <c r="AH27" s="369"/>
      <c r="AI27" s="369"/>
      <c r="AJ27" s="369"/>
    </row>
    <row r="28" spans="1:36" s="59" customFormat="1" ht="18.75" customHeight="1" x14ac:dyDescent="0.25">
      <c r="A28" s="68" t="s">
        <v>40</v>
      </c>
      <c r="B28" s="69"/>
      <c r="C28" s="70" t="s">
        <v>19</v>
      </c>
      <c r="D28" s="71" t="str">
        <f>D22</f>
        <v>h</v>
      </c>
      <c r="E28" s="84">
        <f>SUM(E24:E27)</f>
        <v>37.799999999999997</v>
      </c>
      <c r="F28" s="70" t="s">
        <v>19</v>
      </c>
      <c r="G28" s="71" t="str">
        <f>G22</f>
        <v>ha</v>
      </c>
      <c r="H28" s="84">
        <f>SUM(H24:H27)</f>
        <v>5.5</v>
      </c>
      <c r="I28" s="70" t="s">
        <v>19</v>
      </c>
      <c r="J28" s="71" t="str">
        <f>J22</f>
        <v>ha</v>
      </c>
      <c r="K28" s="84">
        <f>SUM(K24:K27)</f>
        <v>2.1</v>
      </c>
      <c r="L28" s="70" t="s">
        <v>19</v>
      </c>
      <c r="M28" s="71" t="str">
        <f>M22</f>
        <v>ha</v>
      </c>
      <c r="N28" s="84">
        <f>SUM(N24:N27)</f>
        <v>0</v>
      </c>
      <c r="O28" s="70" t="s">
        <v>19</v>
      </c>
      <c r="P28" s="71" t="str">
        <f>P22</f>
        <v>h</v>
      </c>
      <c r="Q28" s="84">
        <f>SUM(Q24:Q27)</f>
        <v>0</v>
      </c>
      <c r="R28" s="70" t="s">
        <v>19</v>
      </c>
      <c r="S28" s="71" t="str">
        <f>S22</f>
        <v>h</v>
      </c>
      <c r="T28" s="83">
        <f>SUM(B28:S28)</f>
        <v>45.4</v>
      </c>
      <c r="U28" s="375"/>
      <c r="V28" s="376"/>
      <c r="W28" s="375"/>
      <c r="X28" s="375"/>
      <c r="Y28" s="375"/>
      <c r="Z28" s="375"/>
      <c r="AA28" s="375"/>
      <c r="AB28" s="375"/>
      <c r="AC28" s="375"/>
      <c r="AD28" s="375"/>
      <c r="AE28" s="367"/>
      <c r="AF28" s="367"/>
      <c r="AG28" s="369"/>
      <c r="AH28" s="369"/>
      <c r="AI28" s="369"/>
      <c r="AJ28" s="369"/>
    </row>
    <row r="29" spans="1:36" s="59" customFormat="1" ht="18.75" customHeight="1" x14ac:dyDescent="0.25">
      <c r="A29" s="74" t="s">
        <v>41</v>
      </c>
      <c r="B29" s="71"/>
      <c r="C29" s="499" t="str">
        <f>D22</f>
        <v>h</v>
      </c>
      <c r="D29" s="499"/>
      <c r="E29" s="6">
        <v>1200</v>
      </c>
      <c r="F29" s="499" t="str">
        <f>G22</f>
        <v>ha</v>
      </c>
      <c r="G29" s="499"/>
      <c r="H29" s="6">
        <v>300</v>
      </c>
      <c r="I29" s="499" t="str">
        <f>J22</f>
        <v>ha</v>
      </c>
      <c r="J29" s="499"/>
      <c r="K29" s="6">
        <v>250</v>
      </c>
      <c r="L29" s="499" t="str">
        <f>M22</f>
        <v>ha</v>
      </c>
      <c r="M29" s="499"/>
      <c r="N29" s="6"/>
      <c r="O29" s="499" t="str">
        <f>P22</f>
        <v>h</v>
      </c>
      <c r="P29" s="499"/>
      <c r="Q29" s="6"/>
      <c r="R29" s="499"/>
      <c r="S29" s="499"/>
      <c r="T29" s="73"/>
      <c r="U29" s="375"/>
      <c r="V29" s="376"/>
      <c r="W29" s="375"/>
      <c r="X29" s="375"/>
      <c r="Y29" s="375"/>
      <c r="Z29" s="375"/>
      <c r="AA29" s="375"/>
      <c r="AB29" s="375"/>
      <c r="AC29" s="375"/>
      <c r="AD29" s="375"/>
      <c r="AE29" s="367"/>
      <c r="AF29" s="367"/>
      <c r="AG29" s="369"/>
      <c r="AH29" s="369"/>
      <c r="AI29" s="369"/>
      <c r="AJ29" s="369"/>
    </row>
    <row r="30" spans="1:36" s="59" customFormat="1" ht="18.75" customHeight="1" x14ac:dyDescent="0.25">
      <c r="A30" s="78" t="s">
        <v>42</v>
      </c>
      <c r="B30" s="79"/>
      <c r="C30" s="80" t="s">
        <v>19</v>
      </c>
      <c r="D30" s="79" t="s">
        <v>29</v>
      </c>
      <c r="E30" s="81">
        <f>SUM(E24:E27)*E29</f>
        <v>45360</v>
      </c>
      <c r="F30" s="80" t="s">
        <v>19</v>
      </c>
      <c r="G30" s="79" t="s">
        <v>29</v>
      </c>
      <c r="H30" s="81">
        <f>SUM(H24:H27)*H29</f>
        <v>1650</v>
      </c>
      <c r="I30" s="80" t="s">
        <v>19</v>
      </c>
      <c r="J30" s="79" t="s">
        <v>29</v>
      </c>
      <c r="K30" s="81">
        <f>SUM(K24:K27)*K29</f>
        <v>525</v>
      </c>
      <c r="L30" s="80" t="s">
        <v>19</v>
      </c>
      <c r="M30" s="79" t="s">
        <v>29</v>
      </c>
      <c r="N30" s="81">
        <f>SUM(N24:N27)*N29</f>
        <v>0</v>
      </c>
      <c r="O30" s="80" t="s">
        <v>19</v>
      </c>
      <c r="P30" s="79" t="s">
        <v>29</v>
      </c>
      <c r="Q30" s="81">
        <f>SUM(Q24:Q27)*Q29</f>
        <v>0</v>
      </c>
      <c r="R30" s="80" t="s">
        <v>19</v>
      </c>
      <c r="S30" s="79" t="s">
        <v>29</v>
      </c>
      <c r="T30" s="82">
        <f t="shared" ref="T30:T35" si="1">SUM(B30:S30)</f>
        <v>47535</v>
      </c>
      <c r="U30" s="375"/>
      <c r="V30" s="376"/>
      <c r="W30" s="375"/>
      <c r="X30" s="375"/>
      <c r="Y30" s="375"/>
      <c r="Z30" s="375"/>
      <c r="AA30" s="375"/>
      <c r="AB30" s="375"/>
      <c r="AC30" s="375"/>
      <c r="AD30" s="375"/>
      <c r="AE30" s="367"/>
      <c r="AF30" s="367"/>
      <c r="AG30" s="369"/>
      <c r="AH30" s="369"/>
      <c r="AI30" s="369"/>
      <c r="AJ30" s="369"/>
    </row>
    <row r="31" spans="1:36" s="59" customFormat="1" ht="18.75" customHeight="1" x14ac:dyDescent="0.25">
      <c r="A31" s="85" t="s">
        <v>43</v>
      </c>
      <c r="B31" s="86"/>
      <c r="C31" s="87" t="s">
        <v>19</v>
      </c>
      <c r="D31" s="86" t="s">
        <v>29</v>
      </c>
      <c r="E31" s="88">
        <f>E30+E21</f>
        <v>61260.020000000004</v>
      </c>
      <c r="F31" s="87" t="s">
        <v>19</v>
      </c>
      <c r="G31" s="86" t="s">
        <v>29</v>
      </c>
      <c r="H31" s="88">
        <f>H30+H21</f>
        <v>3616.6866666666665</v>
      </c>
      <c r="I31" s="87" t="s">
        <v>19</v>
      </c>
      <c r="J31" s="86" t="s">
        <v>29</v>
      </c>
      <c r="K31" s="88">
        <f>K30+K21</f>
        <v>938.35333333333324</v>
      </c>
      <c r="L31" s="87" t="s">
        <v>19</v>
      </c>
      <c r="M31" s="86" t="s">
        <v>29</v>
      </c>
      <c r="N31" s="88">
        <f>N30+N21</f>
        <v>0</v>
      </c>
      <c r="O31" s="87" t="s">
        <v>19</v>
      </c>
      <c r="P31" s="86" t="s">
        <v>29</v>
      </c>
      <c r="Q31" s="88">
        <f>Q30+Q21</f>
        <v>0</v>
      </c>
      <c r="R31" s="87" t="s">
        <v>19</v>
      </c>
      <c r="S31" s="86" t="s">
        <v>29</v>
      </c>
      <c r="T31" s="89">
        <f t="shared" si="1"/>
        <v>65815.060000000012</v>
      </c>
      <c r="U31" s="375"/>
      <c r="V31" s="376"/>
      <c r="W31" s="375"/>
      <c r="X31" s="375"/>
      <c r="Y31" s="375"/>
      <c r="Z31" s="375"/>
      <c r="AA31" s="375"/>
      <c r="AB31" s="375"/>
      <c r="AC31" s="375"/>
      <c r="AD31" s="375"/>
      <c r="AE31" s="367"/>
      <c r="AF31" s="367"/>
      <c r="AG31" s="369"/>
      <c r="AH31" s="369"/>
      <c r="AI31" s="369"/>
      <c r="AJ31" s="369"/>
    </row>
    <row r="32" spans="1:36" s="59" customFormat="1" ht="27" customHeight="1" x14ac:dyDescent="0.25">
      <c r="A32" s="90" t="s">
        <v>44</v>
      </c>
      <c r="B32" s="91"/>
      <c r="C32" s="92" t="s">
        <v>19</v>
      </c>
      <c r="D32" s="93" t="str">
        <f>$H$10</f>
        <v>h</v>
      </c>
      <c r="E32" s="94">
        <f>IF(E16&gt;0,IF(D11=E11,E31/E29,IF(D11&gt;E11,E31/E29/$F$8,E31/E29*$F$8))," ")</f>
        <v>51.050016666666671</v>
      </c>
      <c r="F32" s="92" t="s">
        <v>19</v>
      </c>
      <c r="G32" s="93" t="str">
        <f>$H$10</f>
        <v>h</v>
      </c>
      <c r="H32" s="94">
        <f>IF(H16&gt;0,IF(G11=H11,H31/H29,IF(G11&gt;H11,H31/H29/$F$8,H31/H29*$F$8))," ")</f>
        <v>15.190084000000001</v>
      </c>
      <c r="I32" s="92" t="s">
        <v>19</v>
      </c>
      <c r="J32" s="93" t="str">
        <f>$H$10</f>
        <v>h</v>
      </c>
      <c r="K32" s="94">
        <f>IF(K16&gt;0,IF(J11=K11,K31/K29,IF(J11&gt;K11,K31/K29/$F$8,K31/K29*$F$8))," ")</f>
        <v>4.7293007999999999</v>
      </c>
      <c r="L32" s="92" t="s">
        <v>19</v>
      </c>
      <c r="M32" s="93" t="str">
        <f>$H$10</f>
        <v>h</v>
      </c>
      <c r="N32" s="94" t="str">
        <f>IF(N16&gt;0,IF(M11=N11,N31/N29,IF(M11&gt;N11,N31/N29/$F$8,N31/N29*$F$8))," ")</f>
        <v xml:space="preserve"> </v>
      </c>
      <c r="O32" s="92" t="s">
        <v>19</v>
      </c>
      <c r="P32" s="93" t="str">
        <f>$H$10</f>
        <v>h</v>
      </c>
      <c r="Q32" s="94" t="str">
        <f>IF(Q16&gt;0,IF(P11=Q11,Q31/Q29,IF(P11&gt;Q11,Q31/Q29/$F$8,Q31/Q29*$F$8))," ")</f>
        <v xml:space="preserve"> </v>
      </c>
      <c r="R32" s="92" t="s">
        <v>19</v>
      </c>
      <c r="S32" s="93" t="str">
        <f>$H$10</f>
        <v>h</v>
      </c>
      <c r="T32" s="95">
        <f t="shared" si="1"/>
        <v>70.969401466666682</v>
      </c>
      <c r="U32" s="375"/>
      <c r="V32" s="376"/>
      <c r="W32" s="375"/>
      <c r="X32" s="375"/>
      <c r="Y32" s="375"/>
      <c r="Z32" s="375"/>
      <c r="AA32" s="375"/>
      <c r="AB32" s="375"/>
      <c r="AC32" s="375"/>
      <c r="AD32" s="375"/>
      <c r="AE32" s="367"/>
      <c r="AF32" s="367"/>
      <c r="AG32" s="369"/>
      <c r="AH32" s="369"/>
      <c r="AI32" s="369"/>
      <c r="AJ32" s="369"/>
    </row>
    <row r="33" spans="1:36" s="59" customFormat="1" ht="20.100000000000001" customHeight="1" x14ac:dyDescent="0.25">
      <c r="A33" s="96" t="s">
        <v>45</v>
      </c>
      <c r="B33" s="97"/>
      <c r="C33" s="98" t="str">
        <f>C34</f>
        <v>€ /</v>
      </c>
      <c r="D33" s="97" t="str">
        <f>D32</f>
        <v>h</v>
      </c>
      <c r="E33" s="99">
        <f>IF(E16&gt;0,E21/(E21+E30)*E32," ")</f>
        <v>13.250016666666667</v>
      </c>
      <c r="F33" s="98" t="str">
        <f>F34</f>
        <v>€ /</v>
      </c>
      <c r="G33" s="97" t="str">
        <f>G32</f>
        <v>h</v>
      </c>
      <c r="H33" s="99">
        <f>IF(H16&gt;0,H21/(H21+H30)*H32," ")</f>
        <v>8.2600840000000009</v>
      </c>
      <c r="I33" s="98" t="str">
        <f>I34</f>
        <v>€ /</v>
      </c>
      <c r="J33" s="97" t="str">
        <f>J32</f>
        <v>h</v>
      </c>
      <c r="K33" s="99">
        <f>IF(K16&gt;0,K21/(K21+K30)*K32," ")</f>
        <v>2.0833008</v>
      </c>
      <c r="L33" s="98" t="str">
        <f>L34</f>
        <v>€ /</v>
      </c>
      <c r="M33" s="97" t="str">
        <f>M32</f>
        <v>h</v>
      </c>
      <c r="N33" s="99" t="str">
        <f>IF(N16&gt;0,N21/(N21+N30)*N32," ")</f>
        <v xml:space="preserve"> </v>
      </c>
      <c r="O33" s="98" t="str">
        <f>O34</f>
        <v>€ /</v>
      </c>
      <c r="P33" s="97" t="str">
        <f>P32</f>
        <v>h</v>
      </c>
      <c r="Q33" s="99" t="str">
        <f>IF(Q16&gt;0,Q21/(Q21+Q30)*Q32," ")</f>
        <v xml:space="preserve"> </v>
      </c>
      <c r="R33" s="98" t="str">
        <f>R34</f>
        <v>€ /</v>
      </c>
      <c r="S33" s="97" t="str">
        <f>S32</f>
        <v>h</v>
      </c>
      <c r="T33" s="100">
        <f t="shared" si="1"/>
        <v>23.593401466666666</v>
      </c>
      <c r="U33" s="375"/>
      <c r="V33" s="376"/>
      <c r="W33" s="375"/>
      <c r="X33" s="375"/>
      <c r="Y33" s="377"/>
      <c r="Z33" s="375"/>
      <c r="AA33" s="375"/>
      <c r="AB33" s="375"/>
      <c r="AC33" s="375"/>
      <c r="AD33" s="375"/>
      <c r="AE33" s="367"/>
      <c r="AF33" s="367"/>
      <c r="AG33" s="369"/>
      <c r="AH33" s="369"/>
      <c r="AI33" s="369"/>
      <c r="AJ33" s="369"/>
    </row>
    <row r="34" spans="1:36" s="59" customFormat="1" ht="20.100000000000001" customHeight="1" x14ac:dyDescent="0.25">
      <c r="A34" s="96" t="s">
        <v>46</v>
      </c>
      <c r="B34" s="97"/>
      <c r="C34" s="98" t="str">
        <f>C32</f>
        <v>€ /</v>
      </c>
      <c r="D34" s="97" t="str">
        <f>D32</f>
        <v>h</v>
      </c>
      <c r="E34" s="99">
        <f>IF(E16&gt;0,E30/(E21+E30)*E32," ")</f>
        <v>37.799999999999997</v>
      </c>
      <c r="F34" s="98" t="str">
        <f>F32</f>
        <v>€ /</v>
      </c>
      <c r="G34" s="97" t="str">
        <f>G32</f>
        <v>h</v>
      </c>
      <c r="H34" s="99">
        <f>IF(H16&gt;0,H30/(H21+H30)*H32," ")</f>
        <v>6.9300000000000006</v>
      </c>
      <c r="I34" s="98" t="str">
        <f>I32</f>
        <v>€ /</v>
      </c>
      <c r="J34" s="97" t="str">
        <f>J32</f>
        <v>h</v>
      </c>
      <c r="K34" s="99">
        <f>IF(K16&gt;0,K30/(K21+K30)*K32," ")</f>
        <v>2.6460000000000004</v>
      </c>
      <c r="L34" s="98" t="str">
        <f>L32</f>
        <v>€ /</v>
      </c>
      <c r="M34" s="97" t="str">
        <f>M32</f>
        <v>h</v>
      </c>
      <c r="N34" s="99" t="str">
        <f>IF(N16&gt;0,N30/(N21+N30)*N32," ")</f>
        <v xml:space="preserve"> </v>
      </c>
      <c r="O34" s="98" t="str">
        <f>O32</f>
        <v>€ /</v>
      </c>
      <c r="P34" s="97" t="str">
        <f>P32</f>
        <v>h</v>
      </c>
      <c r="Q34" s="99" t="str">
        <f>IF(Q16&gt;0,Q30/(Q21+Q30)*Q32," ")</f>
        <v xml:space="preserve"> </v>
      </c>
      <c r="R34" s="98" t="str">
        <f>R32</f>
        <v>€ /</v>
      </c>
      <c r="S34" s="97" t="str">
        <f>S32</f>
        <v>h</v>
      </c>
      <c r="T34" s="101">
        <f t="shared" si="1"/>
        <v>47.375999999999998</v>
      </c>
      <c r="U34" s="375"/>
      <c r="V34" s="376"/>
      <c r="W34" s="378"/>
      <c r="X34" s="375"/>
      <c r="Y34" s="377"/>
      <c r="Z34" s="375"/>
      <c r="AA34" s="375"/>
      <c r="AB34" s="375"/>
      <c r="AC34" s="375"/>
      <c r="AD34" s="375"/>
      <c r="AE34" s="367"/>
      <c r="AF34" s="367"/>
      <c r="AG34" s="369"/>
      <c r="AH34" s="369"/>
      <c r="AI34" s="369"/>
      <c r="AJ34" s="369"/>
    </row>
    <row r="35" spans="1:36" s="59" customFormat="1" ht="18.75" customHeight="1" x14ac:dyDescent="0.25">
      <c r="A35" s="102"/>
      <c r="B35" s="103" t="s">
        <v>47</v>
      </c>
      <c r="C35" s="103" t="s">
        <v>19</v>
      </c>
      <c r="D35" s="104" t="str">
        <f>IF(D34="ha","h","ha")</f>
        <v>ha</v>
      </c>
      <c r="E35" s="105">
        <f>IF(E16&gt;0,IF(Gesamtergebnis!$C$2="Hektar",E32*$B$8,E32*$F$8)," ")</f>
        <v>40.515886243386248</v>
      </c>
      <c r="F35" s="103" t="s">
        <v>19</v>
      </c>
      <c r="G35" s="104" t="str">
        <f>IF(G34="ha","h","ha")</f>
        <v>ha</v>
      </c>
      <c r="H35" s="105">
        <f>IF(H16&gt;0,IF(Gesamtergebnis!$C$2="Hektar",H32*$B$8,H32*$F$8)," ")</f>
        <v>12.055622222222222</v>
      </c>
      <c r="I35" s="103" t="s">
        <v>19</v>
      </c>
      <c r="J35" s="104" t="str">
        <f>IF(J34="ha","h","ha")</f>
        <v>ha</v>
      </c>
      <c r="K35" s="105">
        <f>IF(K16&gt;0,IF(Gesamtergebnis!$C$2="Hektar",K32*$B$8,K32*$F$8)," ")</f>
        <v>3.753413333333333</v>
      </c>
      <c r="L35" s="103" t="s">
        <v>19</v>
      </c>
      <c r="M35" s="104" t="str">
        <f>IF(M34="ha","h","ha")</f>
        <v>ha</v>
      </c>
      <c r="N35" s="105" t="str">
        <f>IF(N16&gt;0,IF(Gesamtergebnis!$C$2="Hektar",N32*$B$8,N32*$F$8)," ")</f>
        <v xml:space="preserve"> </v>
      </c>
      <c r="O35" s="103" t="s">
        <v>19</v>
      </c>
      <c r="P35" s="104" t="str">
        <f>IF(P34="ha","h","ha")</f>
        <v>ha</v>
      </c>
      <c r="Q35" s="105" t="str">
        <f>IF(Q16&gt;0,IF(Gesamtergebnis!$C$2="Hektar",Q32*$B$8,Q32*$F$8)," ")</f>
        <v xml:space="preserve"> </v>
      </c>
      <c r="R35" s="103" t="str">
        <f>$O$35</f>
        <v>€ /</v>
      </c>
      <c r="S35" s="104" t="str">
        <f>$P$35</f>
        <v>ha</v>
      </c>
      <c r="T35" s="106">
        <f t="shared" si="1"/>
        <v>56.324921798941809</v>
      </c>
      <c r="U35" s="375"/>
      <c r="V35" s="376"/>
      <c r="W35" s="375"/>
      <c r="X35" s="375"/>
      <c r="Y35" s="375"/>
      <c r="Z35" s="375"/>
      <c r="AA35" s="375"/>
      <c r="AB35" s="375"/>
      <c r="AC35" s="375"/>
      <c r="AD35" s="375"/>
      <c r="AE35" s="367"/>
      <c r="AF35" s="367"/>
      <c r="AG35" s="369"/>
      <c r="AH35" s="369"/>
      <c r="AI35" s="369"/>
      <c r="AJ35" s="369"/>
    </row>
    <row r="36" spans="1:36" s="59" customFormat="1" ht="28.5" customHeight="1" x14ac:dyDescent="0.25">
      <c r="A36" s="107" t="s">
        <v>48</v>
      </c>
      <c r="B36" s="108"/>
      <c r="C36" s="109"/>
      <c r="D36" s="110"/>
      <c r="E36" s="111">
        <f>IF(E22&gt;0,IF(D35="h",E35,E32))</f>
        <v>51.050016666666671</v>
      </c>
      <c r="F36" s="109"/>
      <c r="G36" s="110"/>
      <c r="H36" s="111" t="b">
        <f>IF(H22&gt;0,IF(G35="h",H35,H32))</f>
        <v>0</v>
      </c>
      <c r="I36" s="109"/>
      <c r="J36" s="110"/>
      <c r="K36" s="111" t="b">
        <f>IF(K22&gt;0,IF(J35="h",K35,K32))</f>
        <v>0</v>
      </c>
      <c r="L36" s="109"/>
      <c r="M36" s="110"/>
      <c r="N36" s="111" t="b">
        <f>IF(N22&gt;0,IF(M35="h",N35,N32))</f>
        <v>0</v>
      </c>
      <c r="O36" s="109"/>
      <c r="P36" s="110"/>
      <c r="Q36" s="111" t="b">
        <f>IF(Q22&gt;0,IF(P35="h",Q35,Q32))</f>
        <v>0</v>
      </c>
      <c r="R36" s="112"/>
      <c r="S36" s="113"/>
      <c r="T36" s="114">
        <f>SUM($A$36:R36)</f>
        <v>51.050016666666671</v>
      </c>
      <c r="U36" s="375"/>
      <c r="V36" s="376"/>
      <c r="W36" s="375"/>
      <c r="X36" s="375"/>
      <c r="Y36" s="375"/>
      <c r="Z36" s="375"/>
      <c r="AA36" s="375"/>
      <c r="AB36" s="375"/>
      <c r="AC36" s="375"/>
      <c r="AD36" s="375"/>
      <c r="AE36" s="367"/>
      <c r="AF36" s="367"/>
      <c r="AG36" s="369"/>
      <c r="AH36" s="369"/>
      <c r="AI36" s="369"/>
      <c r="AJ36" s="369"/>
    </row>
    <row r="37" spans="1:36" ht="20.100000000000001" customHeight="1" x14ac:dyDescent="0.25">
      <c r="A37" s="115" t="s">
        <v>49</v>
      </c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8" t="s">
        <v>50</v>
      </c>
    </row>
    <row r="38" spans="1:36" s="123" customFormat="1" ht="20.100000000000001" customHeight="1" x14ac:dyDescent="0.25">
      <c r="A38" s="119" t="s">
        <v>51</v>
      </c>
      <c r="B38" s="120"/>
      <c r="C38" s="117"/>
      <c r="D38" s="117"/>
      <c r="E38" s="121">
        <f>IF(D11^2-E11=0,E32,IF(D11^2-E11=3,E32,0))</f>
        <v>0</v>
      </c>
      <c r="F38" s="117"/>
      <c r="G38" s="117"/>
      <c r="H38" s="121">
        <f>IF(G11^2-H11=0,H32,IF(G11^2-H11=3,H32,0))</f>
        <v>15.190084000000001</v>
      </c>
      <c r="I38" s="117"/>
      <c r="J38" s="117"/>
      <c r="K38" s="121">
        <f>IF(J11^2-K11=0,K32,IF(J11^2-K11=3,K32,0))</f>
        <v>4.7293007999999999</v>
      </c>
      <c r="L38" s="117"/>
      <c r="M38" s="117"/>
      <c r="N38" s="121" t="str">
        <f>IF(M11^2-N11=0,N32,IF(M11^2-N11=3,N32,0))</f>
        <v xml:space="preserve"> </v>
      </c>
      <c r="O38" s="117"/>
      <c r="P38" s="117"/>
      <c r="Q38" s="121">
        <f>IF(P11^2-Q11=0,Q32,IF(P11^2-Q11=3,Q32,0))</f>
        <v>0</v>
      </c>
      <c r="R38" s="117"/>
      <c r="S38" s="117"/>
      <c r="T38" s="122">
        <f>SUM(E38:Q38)</f>
        <v>19.9193848</v>
      </c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0"/>
      <c r="AF38" s="370"/>
      <c r="AG38" s="371"/>
      <c r="AH38" s="371"/>
      <c r="AI38" s="371"/>
      <c r="AJ38" s="371"/>
    </row>
    <row r="39" spans="1:36" ht="19.5" customHeight="1" thickBot="1" x14ac:dyDescent="0.3">
      <c r="A39" s="124" t="s">
        <v>52</v>
      </c>
      <c r="B39" s="125"/>
      <c r="C39" s="126"/>
      <c r="D39" s="126"/>
      <c r="E39" s="127">
        <f>IF(D11^2-E11=-1,E32,IF(D11^2-E11=2,E32,0))</f>
        <v>51.050016666666671</v>
      </c>
      <c r="F39" s="126"/>
      <c r="G39" s="126"/>
      <c r="H39" s="127">
        <f>IF(G11^2-H11=-1,H32,IF(G11^2-H11=2,H32,0))</f>
        <v>0</v>
      </c>
      <c r="I39" s="126"/>
      <c r="J39" s="126"/>
      <c r="K39" s="127">
        <f>IF(J11^2-K11=-1,K32,IF(J11^2-K11=2,K32,0))</f>
        <v>0</v>
      </c>
      <c r="L39" s="126"/>
      <c r="M39" s="126"/>
      <c r="N39" s="127">
        <f>IF(M11^2-N11=-1,N32,IF(M11^2-N11=2,N32,0))</f>
        <v>0</v>
      </c>
      <c r="O39" s="126"/>
      <c r="P39" s="126"/>
      <c r="Q39" s="127" t="str">
        <f>IF(P11^2-Q11=-1,Q32,IF(P11^2-Q11=2,Q32,0))</f>
        <v xml:space="preserve"> </v>
      </c>
      <c r="R39" s="126"/>
      <c r="S39" s="126"/>
      <c r="T39" s="128">
        <f>SUM(E39:Q39)</f>
        <v>51.050016666666671</v>
      </c>
    </row>
    <row r="40" spans="1:36" s="366" customFormat="1" ht="19.5" customHeight="1" x14ac:dyDescent="0.25">
      <c r="A40" s="366" t="s">
        <v>123</v>
      </c>
      <c r="U40" s="372"/>
      <c r="V40" s="372"/>
      <c r="W40" s="372"/>
      <c r="X40" s="373"/>
      <c r="Y40" s="372"/>
      <c r="Z40" s="372"/>
      <c r="AA40" s="372"/>
      <c r="AB40" s="372"/>
      <c r="AC40" s="372"/>
      <c r="AD40" s="372"/>
      <c r="AE40" s="365"/>
      <c r="AF40" s="365"/>
    </row>
    <row r="41" spans="1:36" s="366" customFormat="1" ht="20.100000000000001" customHeight="1" x14ac:dyDescent="0.25">
      <c r="U41" s="372"/>
      <c r="V41" s="372"/>
      <c r="W41" s="372"/>
      <c r="X41" s="373"/>
      <c r="Y41" s="372"/>
      <c r="Z41" s="373"/>
      <c r="AA41" s="372"/>
      <c r="AB41" s="372"/>
      <c r="AC41" s="372"/>
      <c r="AD41" s="372"/>
      <c r="AE41" s="365"/>
      <c r="AF41" s="365"/>
    </row>
    <row r="42" spans="1:36" s="371" customFormat="1" ht="20.100000000000001" customHeight="1" x14ac:dyDescent="0.3">
      <c r="U42" s="379"/>
      <c r="V42" s="379"/>
      <c r="W42" s="379"/>
      <c r="X42" s="379"/>
      <c r="Y42" s="379"/>
      <c r="Z42" s="380"/>
      <c r="AA42" s="379"/>
      <c r="AB42" s="379"/>
      <c r="AC42" s="379"/>
      <c r="AD42" s="379"/>
      <c r="AE42" s="370"/>
      <c r="AF42" s="370"/>
    </row>
    <row r="43" spans="1:36" s="371" customFormat="1" ht="19.5" customHeight="1" x14ac:dyDescent="0.3">
      <c r="U43" s="379"/>
      <c r="V43" s="379"/>
      <c r="W43" s="379"/>
      <c r="X43" s="379"/>
      <c r="Y43" s="379"/>
      <c r="Z43" s="380"/>
      <c r="AA43" s="379"/>
      <c r="AB43" s="379"/>
      <c r="AC43" s="379"/>
      <c r="AD43" s="379"/>
      <c r="AE43" s="370"/>
      <c r="AF43" s="370"/>
    </row>
    <row r="44" spans="1:36" s="366" customFormat="1" ht="20.100000000000001" customHeight="1" x14ac:dyDescent="0.25">
      <c r="D44" s="381"/>
      <c r="E44" s="381"/>
      <c r="G44" s="381"/>
      <c r="H44" s="381"/>
      <c r="J44" s="381"/>
      <c r="K44" s="381"/>
      <c r="M44" s="381"/>
      <c r="N44" s="381"/>
      <c r="P44" s="381"/>
      <c r="Q44" s="381"/>
      <c r="R44" s="381"/>
      <c r="T44" s="381"/>
      <c r="U44" s="372"/>
      <c r="V44" s="372"/>
      <c r="W44" s="372"/>
      <c r="X44" s="373"/>
      <c r="Y44" s="372"/>
      <c r="Z44" s="373"/>
      <c r="AA44" s="372"/>
      <c r="AB44" s="372"/>
      <c r="AC44" s="372"/>
      <c r="AD44" s="372"/>
      <c r="AE44" s="365"/>
      <c r="AF44" s="365"/>
    </row>
    <row r="45" spans="1:36" s="366" customFormat="1" ht="20.100000000000001" customHeight="1" x14ac:dyDescent="0.25">
      <c r="D45" s="381"/>
      <c r="F45" s="381"/>
      <c r="J45" s="381"/>
      <c r="K45" s="381"/>
      <c r="L45" s="381"/>
      <c r="M45" s="381"/>
      <c r="N45" s="381"/>
      <c r="P45" s="382"/>
      <c r="Q45" s="382"/>
      <c r="U45" s="372"/>
      <c r="V45" s="372"/>
      <c r="W45" s="372"/>
      <c r="X45" s="373"/>
      <c r="Y45" s="372"/>
      <c r="Z45" s="372"/>
      <c r="AA45" s="372"/>
      <c r="AB45" s="372"/>
      <c r="AC45" s="372"/>
      <c r="AD45" s="372"/>
      <c r="AE45" s="365"/>
      <c r="AF45" s="365"/>
    </row>
    <row r="46" spans="1:36" s="366" customFormat="1" ht="20.100000000000001" customHeight="1" x14ac:dyDescent="0.25">
      <c r="D46" s="381"/>
      <c r="F46" s="381"/>
      <c r="J46" s="381"/>
      <c r="K46" s="381"/>
      <c r="L46" s="381"/>
      <c r="M46" s="381"/>
      <c r="N46" s="381"/>
      <c r="P46" s="382"/>
      <c r="Q46" s="382"/>
      <c r="U46" s="372"/>
      <c r="V46" s="372"/>
      <c r="W46" s="372"/>
      <c r="X46" s="373"/>
      <c r="Y46" s="372"/>
      <c r="Z46" s="372"/>
      <c r="AA46" s="372"/>
      <c r="AB46" s="372"/>
      <c r="AC46" s="372"/>
      <c r="AD46" s="372"/>
      <c r="AE46" s="365"/>
      <c r="AF46" s="365"/>
    </row>
    <row r="47" spans="1:36" s="366" customFormat="1" ht="20.100000000000001" customHeight="1" x14ac:dyDescent="0.25">
      <c r="D47" s="381"/>
      <c r="F47" s="381"/>
      <c r="J47" s="381"/>
      <c r="K47" s="381"/>
      <c r="L47" s="381"/>
      <c r="M47" s="381"/>
      <c r="N47" s="381"/>
      <c r="P47" s="382"/>
      <c r="Q47" s="382"/>
      <c r="U47" s="372"/>
      <c r="V47" s="372"/>
      <c r="W47" s="372"/>
      <c r="X47" s="373"/>
      <c r="Y47" s="372"/>
      <c r="Z47" s="372"/>
      <c r="AA47" s="372"/>
      <c r="AB47" s="372"/>
      <c r="AC47" s="372"/>
      <c r="AD47" s="372"/>
      <c r="AE47" s="365"/>
      <c r="AF47" s="365"/>
    </row>
    <row r="48" spans="1:36" s="366" customFormat="1" ht="20.100000000000001" customHeight="1" x14ac:dyDescent="0.25">
      <c r="D48" s="381"/>
      <c r="F48" s="381"/>
      <c r="J48" s="381"/>
      <c r="K48" s="381"/>
      <c r="L48" s="381"/>
      <c r="M48" s="381"/>
      <c r="N48" s="381"/>
      <c r="P48" s="382"/>
      <c r="Q48" s="382"/>
      <c r="U48" s="372"/>
      <c r="V48" s="372"/>
      <c r="W48" s="372"/>
      <c r="X48" s="373"/>
      <c r="Y48" s="372"/>
      <c r="Z48" s="372"/>
      <c r="AA48" s="372"/>
      <c r="AB48" s="372"/>
      <c r="AC48" s="372"/>
      <c r="AD48" s="372"/>
      <c r="AE48" s="365"/>
      <c r="AF48" s="365"/>
    </row>
    <row r="49" spans="4:32" s="366" customFormat="1" ht="20.100000000000001" customHeight="1" x14ac:dyDescent="0.25">
      <c r="D49" s="381"/>
      <c r="F49" s="381"/>
      <c r="J49" s="381"/>
      <c r="K49" s="381"/>
      <c r="L49" s="381"/>
      <c r="M49" s="381"/>
      <c r="N49" s="381"/>
      <c r="P49" s="382"/>
      <c r="Q49" s="382"/>
      <c r="U49" s="372"/>
      <c r="V49" s="372"/>
      <c r="W49" s="372"/>
      <c r="X49" s="373"/>
      <c r="Y49" s="372"/>
      <c r="Z49" s="372"/>
      <c r="AA49" s="372"/>
      <c r="AB49" s="372"/>
      <c r="AC49" s="372"/>
      <c r="AD49" s="372"/>
      <c r="AE49" s="365"/>
      <c r="AF49" s="365"/>
    </row>
    <row r="50" spans="4:32" s="366" customFormat="1" ht="20.100000000000001" customHeight="1" x14ac:dyDescent="0.25">
      <c r="D50" s="381"/>
      <c r="P50" s="382"/>
      <c r="Q50" s="382"/>
      <c r="U50" s="372"/>
      <c r="V50" s="372"/>
      <c r="W50" s="372"/>
      <c r="X50" s="373"/>
      <c r="Y50" s="372"/>
      <c r="Z50" s="372"/>
      <c r="AA50" s="372"/>
      <c r="AB50" s="372"/>
      <c r="AC50" s="372"/>
      <c r="AD50" s="372"/>
      <c r="AE50" s="365"/>
      <c r="AF50" s="365"/>
    </row>
    <row r="51" spans="4:32" s="366" customFormat="1" ht="20.100000000000001" customHeight="1" x14ac:dyDescent="0.25">
      <c r="L51" s="382"/>
      <c r="M51" s="382"/>
      <c r="U51" s="372"/>
      <c r="V51" s="372"/>
      <c r="W51" s="372"/>
      <c r="X51" s="373"/>
      <c r="Y51" s="372"/>
      <c r="Z51" s="372"/>
      <c r="AA51" s="372"/>
      <c r="AB51" s="372"/>
      <c r="AC51" s="372"/>
      <c r="AD51" s="372"/>
      <c r="AE51" s="365"/>
      <c r="AF51" s="365"/>
    </row>
    <row r="52" spans="4:32" s="366" customFormat="1" ht="20.100000000000001" customHeight="1" x14ac:dyDescent="0.25">
      <c r="L52" s="382"/>
      <c r="M52" s="382"/>
      <c r="U52" s="372"/>
      <c r="V52" s="372"/>
      <c r="W52" s="372"/>
      <c r="X52" s="373"/>
      <c r="Y52" s="372"/>
      <c r="Z52" s="372"/>
      <c r="AA52" s="372"/>
      <c r="AB52" s="372"/>
      <c r="AC52" s="372"/>
      <c r="AD52" s="372"/>
      <c r="AE52" s="365"/>
      <c r="AF52" s="365"/>
    </row>
    <row r="53" spans="4:32" s="366" customFormat="1" ht="20.100000000000001" customHeight="1" x14ac:dyDescent="0.25">
      <c r="L53" s="382"/>
      <c r="M53" s="382"/>
      <c r="U53" s="372"/>
      <c r="V53" s="372"/>
      <c r="W53" s="372"/>
      <c r="X53" s="373"/>
      <c r="Y53" s="372"/>
      <c r="Z53" s="372"/>
      <c r="AA53" s="372"/>
      <c r="AB53" s="372"/>
      <c r="AC53" s="372"/>
      <c r="AD53" s="372"/>
      <c r="AE53" s="365"/>
      <c r="AF53" s="365"/>
    </row>
    <row r="54" spans="4:32" s="366" customFormat="1" ht="20.100000000000001" customHeight="1" x14ac:dyDescent="0.25">
      <c r="L54" s="382"/>
      <c r="M54" s="382"/>
      <c r="U54" s="372"/>
      <c r="V54" s="372"/>
      <c r="W54" s="372"/>
      <c r="X54" s="373"/>
      <c r="Y54" s="372"/>
      <c r="Z54" s="372"/>
      <c r="AA54" s="372"/>
      <c r="AB54" s="372"/>
      <c r="AC54" s="372"/>
      <c r="AD54" s="372"/>
      <c r="AE54" s="365"/>
      <c r="AF54" s="365"/>
    </row>
    <row r="55" spans="4:32" s="366" customFormat="1" ht="20.100000000000001" customHeight="1" x14ac:dyDescent="0.25">
      <c r="L55" s="382"/>
      <c r="M55" s="382"/>
      <c r="U55" s="372"/>
      <c r="V55" s="372"/>
      <c r="W55" s="372"/>
      <c r="X55" s="373"/>
      <c r="Y55" s="372"/>
      <c r="Z55" s="372"/>
      <c r="AA55" s="372"/>
      <c r="AB55" s="372"/>
      <c r="AC55" s="372"/>
      <c r="AD55" s="372"/>
      <c r="AE55" s="365"/>
      <c r="AF55" s="365"/>
    </row>
    <row r="56" spans="4:32" s="366" customFormat="1" ht="20.100000000000001" customHeight="1" x14ac:dyDescent="0.25">
      <c r="L56" s="382"/>
      <c r="M56" s="382"/>
      <c r="U56" s="372"/>
      <c r="V56" s="372"/>
      <c r="W56" s="372"/>
      <c r="X56" s="373"/>
      <c r="Y56" s="372"/>
      <c r="Z56" s="372"/>
      <c r="AA56" s="372"/>
      <c r="AB56" s="372"/>
      <c r="AC56" s="372"/>
      <c r="AD56" s="372"/>
      <c r="AE56" s="365"/>
      <c r="AF56" s="365"/>
    </row>
    <row r="57" spans="4:32" s="366" customFormat="1" ht="20.100000000000001" customHeight="1" x14ac:dyDescent="0.25">
      <c r="L57" s="382"/>
      <c r="M57" s="382"/>
      <c r="U57" s="372"/>
      <c r="V57" s="372"/>
      <c r="W57" s="372"/>
      <c r="X57" s="373"/>
      <c r="Y57" s="372"/>
      <c r="Z57" s="372"/>
      <c r="AA57" s="372"/>
      <c r="AB57" s="372"/>
      <c r="AC57" s="372"/>
      <c r="AD57" s="372"/>
      <c r="AE57" s="365"/>
      <c r="AF57" s="365"/>
    </row>
    <row r="58" spans="4:32" s="366" customFormat="1" ht="20.100000000000001" customHeight="1" x14ac:dyDescent="0.25">
      <c r="L58" s="382"/>
      <c r="M58" s="382"/>
      <c r="U58" s="372"/>
      <c r="V58" s="372"/>
      <c r="W58" s="372"/>
      <c r="X58" s="373"/>
      <c r="Y58" s="372"/>
      <c r="Z58" s="372"/>
      <c r="AA58" s="372"/>
      <c r="AB58" s="372"/>
      <c r="AC58" s="372"/>
      <c r="AD58" s="372"/>
      <c r="AE58" s="365"/>
      <c r="AF58" s="365"/>
    </row>
    <row r="59" spans="4:32" s="366" customFormat="1" ht="20.100000000000001" customHeight="1" x14ac:dyDescent="0.25">
      <c r="L59" s="382"/>
      <c r="M59" s="382"/>
      <c r="U59" s="372"/>
      <c r="V59" s="372"/>
      <c r="W59" s="372"/>
      <c r="X59" s="373"/>
      <c r="Y59" s="372"/>
      <c r="Z59" s="372"/>
      <c r="AA59" s="372"/>
      <c r="AB59" s="372"/>
      <c r="AC59" s="372"/>
      <c r="AD59" s="372"/>
      <c r="AE59" s="365"/>
      <c r="AF59" s="365"/>
    </row>
    <row r="60" spans="4:32" s="366" customFormat="1" ht="20.100000000000001" customHeight="1" x14ac:dyDescent="0.25">
      <c r="L60" s="382"/>
      <c r="M60" s="382"/>
      <c r="U60" s="372"/>
      <c r="V60" s="372"/>
      <c r="W60" s="372"/>
      <c r="X60" s="373"/>
      <c r="Y60" s="372"/>
      <c r="Z60" s="372"/>
      <c r="AA60" s="372"/>
      <c r="AB60" s="372"/>
      <c r="AC60" s="372"/>
      <c r="AD60" s="372"/>
      <c r="AE60" s="365"/>
      <c r="AF60" s="365"/>
    </row>
    <row r="61" spans="4:32" s="366" customFormat="1" ht="20.100000000000001" customHeight="1" x14ac:dyDescent="0.25">
      <c r="L61" s="382"/>
      <c r="M61" s="382"/>
      <c r="U61" s="372"/>
      <c r="V61" s="372"/>
      <c r="W61" s="372"/>
      <c r="X61" s="373"/>
      <c r="Y61" s="372"/>
      <c r="Z61" s="372"/>
      <c r="AA61" s="372"/>
      <c r="AB61" s="372"/>
      <c r="AC61" s="372"/>
      <c r="AD61" s="372"/>
      <c r="AE61" s="365"/>
      <c r="AF61" s="365"/>
    </row>
    <row r="62" spans="4:32" s="366" customFormat="1" ht="20.100000000000001" customHeight="1" x14ac:dyDescent="0.25">
      <c r="L62" s="382"/>
      <c r="M62" s="382"/>
      <c r="U62" s="372"/>
      <c r="V62" s="372"/>
      <c r="W62" s="372"/>
      <c r="X62" s="373"/>
      <c r="Y62" s="372"/>
      <c r="Z62" s="372"/>
      <c r="AA62" s="372"/>
      <c r="AB62" s="372"/>
      <c r="AC62" s="372"/>
      <c r="AD62" s="372"/>
      <c r="AE62" s="365"/>
      <c r="AF62" s="365"/>
    </row>
    <row r="63" spans="4:32" s="366" customFormat="1" ht="20.100000000000001" customHeight="1" x14ac:dyDescent="0.25">
      <c r="L63" s="382"/>
      <c r="M63" s="382"/>
      <c r="U63" s="372"/>
      <c r="V63" s="372"/>
      <c r="W63" s="372"/>
      <c r="X63" s="373"/>
      <c r="Y63" s="372"/>
      <c r="Z63" s="372"/>
      <c r="AA63" s="372"/>
      <c r="AB63" s="372"/>
      <c r="AC63" s="372"/>
      <c r="AD63" s="372"/>
      <c r="AE63" s="365"/>
      <c r="AF63" s="365"/>
    </row>
    <row r="64" spans="4:32" s="366" customFormat="1" ht="20.100000000000001" customHeight="1" x14ac:dyDescent="0.25">
      <c r="L64" s="382"/>
      <c r="M64" s="382"/>
      <c r="U64" s="372"/>
      <c r="V64" s="372"/>
      <c r="W64" s="372"/>
      <c r="X64" s="373"/>
      <c r="Y64" s="372"/>
      <c r="Z64" s="372"/>
      <c r="AA64" s="372"/>
      <c r="AB64" s="372"/>
      <c r="AC64" s="372"/>
      <c r="AD64" s="372"/>
      <c r="AE64" s="365"/>
      <c r="AF64" s="365"/>
    </row>
    <row r="65" spans="4:36" s="282" customFormat="1" ht="20.100000000000001" customHeight="1" x14ac:dyDescent="0.25">
      <c r="L65" s="281"/>
      <c r="M65" s="281"/>
      <c r="U65" s="372"/>
      <c r="V65" s="372"/>
      <c r="W65" s="372"/>
      <c r="X65" s="373"/>
      <c r="Y65" s="372"/>
      <c r="Z65" s="372"/>
      <c r="AA65" s="372"/>
      <c r="AB65" s="372"/>
      <c r="AC65" s="372"/>
      <c r="AD65" s="372"/>
      <c r="AE65" s="365"/>
      <c r="AF65" s="365"/>
      <c r="AG65" s="366"/>
      <c r="AH65" s="366"/>
      <c r="AI65" s="366"/>
      <c r="AJ65" s="366"/>
    </row>
    <row r="66" spans="4:36" s="282" customFormat="1" ht="20.100000000000001" customHeight="1" x14ac:dyDescent="0.25">
      <c r="L66" s="281"/>
      <c r="M66" s="281"/>
      <c r="U66" s="372"/>
      <c r="V66" s="372"/>
      <c r="W66" s="372"/>
      <c r="X66" s="373"/>
      <c r="Y66" s="372"/>
      <c r="Z66" s="372"/>
      <c r="AA66" s="372"/>
      <c r="AB66" s="372"/>
      <c r="AC66" s="372"/>
      <c r="AD66" s="372"/>
      <c r="AE66" s="365"/>
      <c r="AF66" s="365"/>
      <c r="AG66" s="366"/>
      <c r="AH66" s="366"/>
      <c r="AI66" s="366"/>
      <c r="AJ66" s="366"/>
    </row>
    <row r="67" spans="4:36" s="282" customFormat="1" ht="20.100000000000001" customHeight="1" x14ac:dyDescent="0.25">
      <c r="L67" s="281"/>
      <c r="M67" s="281"/>
      <c r="U67" s="372"/>
      <c r="V67" s="372"/>
      <c r="W67" s="372"/>
      <c r="X67" s="373"/>
      <c r="Y67" s="372"/>
      <c r="Z67" s="372"/>
      <c r="AA67" s="372"/>
      <c r="AB67" s="372"/>
      <c r="AC67" s="372"/>
      <c r="AD67" s="372"/>
      <c r="AE67" s="365"/>
      <c r="AF67" s="365"/>
      <c r="AG67" s="366"/>
      <c r="AH67" s="366"/>
      <c r="AI67" s="366"/>
      <c r="AJ67" s="366"/>
    </row>
    <row r="68" spans="4:36" s="282" customFormat="1" ht="20.100000000000001" customHeight="1" x14ac:dyDescent="0.25">
      <c r="L68" s="281"/>
      <c r="M68" s="281"/>
      <c r="U68" s="372"/>
      <c r="V68" s="372"/>
      <c r="W68" s="372"/>
      <c r="X68" s="373"/>
      <c r="Y68" s="372"/>
      <c r="Z68" s="372"/>
      <c r="AA68" s="372"/>
      <c r="AB68" s="372"/>
      <c r="AC68" s="372"/>
      <c r="AD68" s="372"/>
      <c r="AE68" s="365"/>
      <c r="AF68" s="365"/>
      <c r="AG68" s="366"/>
      <c r="AH68" s="366"/>
      <c r="AI68" s="366"/>
      <c r="AJ68" s="366"/>
    </row>
    <row r="69" spans="4:36" s="282" customFormat="1" ht="20.100000000000001" customHeight="1" x14ac:dyDescent="0.25">
      <c r="L69" s="281"/>
      <c r="M69" s="281"/>
      <c r="U69" s="372"/>
      <c r="V69" s="372"/>
      <c r="W69" s="372"/>
      <c r="X69" s="373"/>
      <c r="Y69" s="372"/>
      <c r="Z69" s="372"/>
      <c r="AA69" s="372"/>
      <c r="AB69" s="372"/>
      <c r="AC69" s="372"/>
      <c r="AD69" s="372"/>
      <c r="AE69" s="365"/>
      <c r="AF69" s="365"/>
      <c r="AG69" s="366"/>
      <c r="AH69" s="366"/>
      <c r="AI69" s="366"/>
      <c r="AJ69" s="366"/>
    </row>
    <row r="70" spans="4:36" ht="20.100000000000001" customHeight="1" x14ac:dyDescent="0.25">
      <c r="D70" s="31"/>
      <c r="L70" s="32"/>
      <c r="M70" s="32"/>
      <c r="P70" s="31"/>
      <c r="Q70" s="31"/>
    </row>
  </sheetData>
  <sheetProtection algorithmName="SHA-512" hashValue="xy5su/jykICRWAv4FFkp7qc1qewm47j+TMTX7cRyO5ZRz5bRkv0Xo9yaBWUA2ORc8f6aZET12pr8Qbd54Ufk8w==" saltValue="JUm4ZcghDKXLXpAE8PFkZw==" spinCount="100000" sheet="1" objects="1" scenarios="1"/>
  <mergeCells count="39">
    <mergeCell ref="D8:E8"/>
    <mergeCell ref="R18:S18"/>
    <mergeCell ref="C18:D18"/>
    <mergeCell ref="F18:G18"/>
    <mergeCell ref="I18:J18"/>
    <mergeCell ref="O18:P18"/>
    <mergeCell ref="C14:D14"/>
    <mergeCell ref="F14:G14"/>
    <mergeCell ref="I14:J14"/>
    <mergeCell ref="L14:M14"/>
    <mergeCell ref="C12:E12"/>
    <mergeCell ref="F12:H12"/>
    <mergeCell ref="I12:K12"/>
    <mergeCell ref="R12:T12"/>
    <mergeCell ref="O14:P14"/>
    <mergeCell ref="R14:S14"/>
    <mergeCell ref="G2:K2"/>
    <mergeCell ref="K4:N10"/>
    <mergeCell ref="L16:M16"/>
    <mergeCell ref="I15:J15"/>
    <mergeCell ref="L15:M15"/>
    <mergeCell ref="L12:N12"/>
    <mergeCell ref="I16:J16"/>
    <mergeCell ref="O12:Q12"/>
    <mergeCell ref="P4:T6"/>
    <mergeCell ref="O29:P29"/>
    <mergeCell ref="R29:S29"/>
    <mergeCell ref="C29:D29"/>
    <mergeCell ref="F29:G29"/>
    <mergeCell ref="I29:J29"/>
    <mergeCell ref="L29:M29"/>
    <mergeCell ref="O15:P15"/>
    <mergeCell ref="R15:S15"/>
    <mergeCell ref="O16:P16"/>
    <mergeCell ref="R16:S16"/>
    <mergeCell ref="C15:D15"/>
    <mergeCell ref="F15:G15"/>
    <mergeCell ref="C16:D16"/>
    <mergeCell ref="F16:G16"/>
  </mergeCells>
  <phoneticPr fontId="0" type="noConversion"/>
  <dataValidations count="5">
    <dataValidation type="list" allowBlank="1" showInputMessage="1" showErrorMessage="1" sqref="H13 E13 K13 N13 Q13" xr:uid="{00000000-0002-0000-0000-000000000000}">
      <formula1>"Hektar,Stunde"</formula1>
    </dataValidation>
    <dataValidation allowBlank="1" showInputMessage="1" showErrorMessage="1" prompt="Tragen Sie hier ihre tatsächliche Flächenleistung ein oder berechnen Sie diese durch Eingabe nachfolgender Werte!" sqref="B4" xr:uid="{00000000-0002-0000-0000-000001000000}"/>
    <dataValidation type="decimal" allowBlank="1" showInputMessage="1" showErrorMessage="1" error="In der Summe erreicht die unproduktive Arbeitszeit 100%" sqref="H5" xr:uid="{00000000-0002-0000-0000-000002000000}">
      <formula1>0</formula1>
      <formula2>H4</formula2>
    </dataValidation>
    <dataValidation type="decimal" allowBlank="1" showInputMessage="1" showErrorMessage="1" sqref="H6" xr:uid="{00000000-0002-0000-0000-000003000000}">
      <formula1>0</formula1>
      <formula2>I4</formula2>
    </dataValidation>
    <dataValidation type="whole" operator="greaterThan" allowBlank="1" showInputMessage="1" showErrorMessage="1" sqref="H16 E16 K16 N16 Q16" xr:uid="{00000000-0002-0000-0000-000004000000}">
      <formula1>0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5</xdr:col>
                    <xdr:colOff>0</xdr:colOff>
                    <xdr:row>0</xdr:row>
                    <xdr:rowOff>0</xdr:rowOff>
                  </from>
                  <to>
                    <xdr:col>5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X290"/>
  <sheetViews>
    <sheetView zoomScale="96" zoomScaleNormal="96" workbookViewId="0">
      <selection activeCell="C3" sqref="C3"/>
    </sheetView>
  </sheetViews>
  <sheetFormatPr baseColWidth="10" defaultColWidth="11.44140625" defaultRowHeight="13.2" x14ac:dyDescent="0.25"/>
  <cols>
    <col min="1" max="1" width="51" style="32" customWidth="1"/>
    <col min="2" max="2" width="11.109375" style="145" bestFit="1" customWidth="1"/>
    <col min="3" max="5" width="47.109375" style="32" customWidth="1"/>
    <col min="6" max="10" width="11.44140625" style="383"/>
    <col min="11" max="23" width="11.44140625" style="386"/>
    <col min="24" max="24" width="11.44140625" style="383"/>
    <col min="25" max="16384" width="11.44140625" style="32"/>
  </cols>
  <sheetData>
    <row r="1" spans="1:24" s="130" customFormat="1" ht="41.25" customHeight="1" thickBot="1" x14ac:dyDescent="0.3">
      <c r="A1" s="313" t="s">
        <v>53</v>
      </c>
      <c r="B1" s="314" t="s">
        <v>2</v>
      </c>
      <c r="C1" s="315"/>
      <c r="D1" s="316" t="str">
        <f>Maschinen!G2</f>
        <v>Pflügen mit Packer</v>
      </c>
      <c r="E1" s="317"/>
      <c r="F1" s="383"/>
      <c r="G1" s="383"/>
      <c r="H1" s="383"/>
      <c r="I1" s="383"/>
      <c r="J1" s="383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5"/>
    </row>
    <row r="2" spans="1:24" ht="24" customHeight="1" x14ac:dyDescent="0.25">
      <c r="A2" s="131" t="s">
        <v>54</v>
      </c>
      <c r="B2" s="285"/>
      <c r="C2" s="8" t="s">
        <v>203</v>
      </c>
      <c r="D2" s="8"/>
      <c r="E2" s="8"/>
    </row>
    <row r="3" spans="1:24" ht="34.200000000000003" customHeight="1" x14ac:dyDescent="0.25">
      <c r="A3" s="132" t="s">
        <v>55</v>
      </c>
      <c r="B3" s="286"/>
      <c r="C3" s="294" t="s">
        <v>56</v>
      </c>
      <c r="D3" s="294"/>
      <c r="E3" s="294"/>
      <c r="G3" s="513" t="s">
        <v>191</v>
      </c>
      <c r="H3" s="513"/>
      <c r="I3" s="513"/>
    </row>
    <row r="4" spans="1:24" ht="34.200000000000003" customHeight="1" x14ac:dyDescent="0.25">
      <c r="A4" s="133" t="s">
        <v>57</v>
      </c>
      <c r="B4" s="287" t="s">
        <v>58</v>
      </c>
      <c r="C4" s="9">
        <v>14</v>
      </c>
      <c r="D4" s="9"/>
      <c r="E4" s="9"/>
      <c r="G4" s="513"/>
      <c r="H4" s="513"/>
      <c r="I4" s="513"/>
      <c r="N4" s="386" t="str">
        <f>IF(D4&gt;0,D2," ")</f>
        <v xml:space="preserve"> </v>
      </c>
    </row>
    <row r="5" spans="1:24" ht="34.200000000000003" customHeight="1" x14ac:dyDescent="0.25">
      <c r="A5" s="85" t="s">
        <v>59</v>
      </c>
      <c r="B5" s="288" t="s">
        <v>60</v>
      </c>
      <c r="C5" s="10">
        <v>173</v>
      </c>
      <c r="D5" s="10"/>
      <c r="E5" s="10"/>
      <c r="N5" s="386" t="str">
        <f>IF(E4&gt;0,E2," ")</f>
        <v xml:space="preserve"> </v>
      </c>
    </row>
    <row r="6" spans="1:24" ht="34.200000000000003" customHeight="1" x14ac:dyDescent="0.25">
      <c r="A6" s="133" t="s">
        <v>61</v>
      </c>
      <c r="B6" s="287" t="s">
        <v>24</v>
      </c>
      <c r="C6" s="9">
        <v>0</v>
      </c>
      <c r="D6" s="9"/>
      <c r="E6" s="9"/>
    </row>
    <row r="7" spans="1:24" ht="34.200000000000003" customHeight="1" x14ac:dyDescent="0.25">
      <c r="A7" s="133" t="s">
        <v>62</v>
      </c>
      <c r="B7" s="287" t="s">
        <v>24</v>
      </c>
      <c r="C7" s="134">
        <f>IF(C3="ständiger Mitarbeiter mit KV-Beitrag",'Soz.-Vers.-Beiträge'!$C$16,IF(C3="geringfügig beschäftigte Aushilfsteilzeitkraft (Minijob, max 400 € / Monat)",'Soz.-Vers.-Beiträge'!$C$23,IF(C3="Mitarbeiter mit Niedriglohn (Midi-Job, 401 - 800 € / Monat)",'Soz.-Vers.-Beiträge'!$G$16,'Soz.-Vers.-Beiträge'!$G$21)))/100*(C6/12+C5*C4)</f>
        <v>544.82889999999998</v>
      </c>
      <c r="D7" s="134">
        <f>IF(D3="ständiger Mitarbeiter mit KV-Beitrag",'Soz.-Vers.-Beiträge'!$C$16,IF(D3="geringfügig beschäftigte Aushilfsteilzeitkraft (Minijob, max 400 € / Monat)",'Soz.-Vers.-Beiträge'!$C$23,IF(D3="Mitarbeiter mit Niedriglohn (Midi-Job, 401 - 800 € / Monat)",'Soz.-Vers.-Beiträge'!$G$16,'Soz.-Vers.-Beiträge'!$G$21)))/100*(D6/12+D5*D4)</f>
        <v>0</v>
      </c>
      <c r="E7" s="134">
        <f>IF(E3="ständiger Mitarbeiter mit KV-Beitrag",'Soz.-Vers.-Beiträge'!$C$16,IF(E3="geringfügig beschäftigte Aushilfsteilzeitkraft (Minijob, max 400 € / Monat)",'Soz.-Vers.-Beiträge'!$C$23,IF(E3="Mitarbeiter mit Niedriglohn (Midi-Job, 401 - 800 € / Monat)",'Soz.-Vers.-Beiträge'!$G$16,'Soz.-Vers.-Beiträge'!$G$21)))/100*(E6/12+E5*E4)</f>
        <v>0</v>
      </c>
    </row>
    <row r="8" spans="1:24" ht="34.200000000000003" customHeight="1" thickBot="1" x14ac:dyDescent="0.3">
      <c r="A8" s="133" t="s">
        <v>169</v>
      </c>
      <c r="B8" s="287" t="s">
        <v>24</v>
      </c>
      <c r="C8" s="284">
        <f>C10*$B$10/100</f>
        <v>38.568775700000003</v>
      </c>
      <c r="D8" s="284">
        <f>D10*$B$10/100</f>
        <v>0</v>
      </c>
      <c r="E8" s="284">
        <f>E10*$B$10/100</f>
        <v>0</v>
      </c>
    </row>
    <row r="9" spans="1:24" ht="24" customHeight="1" thickBot="1" x14ac:dyDescent="0.35">
      <c r="A9" s="135" t="s">
        <v>63</v>
      </c>
      <c r="B9" s="295" t="s">
        <v>24</v>
      </c>
      <c r="C9" s="283">
        <f>C8+C10</f>
        <v>3005.3976757</v>
      </c>
      <c r="D9" s="283">
        <f t="shared" ref="D9:E9" si="0">D8+D10</f>
        <v>0</v>
      </c>
      <c r="E9" s="283">
        <f t="shared" si="0"/>
        <v>0</v>
      </c>
      <c r="F9" s="387"/>
      <c r="G9" s="388"/>
      <c r="H9" s="388"/>
    </row>
    <row r="10" spans="1:24" s="382" customFormat="1" ht="5.4" customHeight="1" x14ac:dyDescent="0.25">
      <c r="A10" s="369"/>
      <c r="B10" s="390">
        <f>'Soz.-Vers.-Beiträge'!$G$29</f>
        <v>1.3</v>
      </c>
      <c r="C10" s="390">
        <f>(C7+C6/12+C5*C4)</f>
        <v>2966.8289</v>
      </c>
      <c r="D10" s="390">
        <f t="shared" ref="D10:E10" si="1">(D7+D6/12+D5*D4)</f>
        <v>0</v>
      </c>
      <c r="E10" s="390">
        <f t="shared" si="1"/>
        <v>0</v>
      </c>
    </row>
    <row r="11" spans="1:24" s="382" customFormat="1" ht="5.4" customHeight="1" thickBot="1" x14ac:dyDescent="0.3">
      <c r="A11" s="369"/>
      <c r="B11" s="369"/>
      <c r="C11" s="369"/>
      <c r="D11" s="369"/>
      <c r="E11" s="369"/>
    </row>
    <row r="12" spans="1:24" ht="24" customHeight="1" thickBot="1" x14ac:dyDescent="0.3">
      <c r="A12" s="136" t="s">
        <v>64</v>
      </c>
      <c r="B12" s="137"/>
      <c r="C12" s="289"/>
      <c r="D12" s="138"/>
      <c r="E12" s="138"/>
    </row>
    <row r="13" spans="1:24" ht="24" customHeight="1" thickTop="1" x14ac:dyDescent="0.25">
      <c r="A13" s="139" t="s">
        <v>65</v>
      </c>
      <c r="B13" s="140" t="s">
        <v>66</v>
      </c>
      <c r="C13" s="290">
        <v>5</v>
      </c>
      <c r="D13" s="11"/>
      <c r="E13" s="11"/>
      <c r="K13" s="383"/>
      <c r="L13" s="383"/>
      <c r="M13" s="383"/>
    </row>
    <row r="14" spans="1:24" ht="24" customHeight="1" x14ac:dyDescent="0.25">
      <c r="A14" s="139" t="s">
        <v>67</v>
      </c>
      <c r="B14" s="140" t="s">
        <v>66</v>
      </c>
      <c r="C14" s="291">
        <f>365/7*C13</f>
        <v>260.71428571428572</v>
      </c>
      <c r="D14" s="141">
        <f>365/7*D13</f>
        <v>0</v>
      </c>
      <c r="E14" s="141">
        <f>365/7*E13</f>
        <v>0</v>
      </c>
      <c r="K14" s="383"/>
      <c r="L14" s="383"/>
      <c r="M14" s="383"/>
    </row>
    <row r="15" spans="1:24" ht="24" customHeight="1" x14ac:dyDescent="0.25">
      <c r="A15" s="139" t="s">
        <v>68</v>
      </c>
      <c r="B15" s="140" t="s">
        <v>66</v>
      </c>
      <c r="C15" s="292">
        <v>25</v>
      </c>
      <c r="D15" s="11"/>
      <c r="E15" s="11"/>
      <c r="K15" s="383"/>
      <c r="L15" s="383"/>
      <c r="M15" s="383"/>
    </row>
    <row r="16" spans="1:24" ht="24" customHeight="1" x14ac:dyDescent="0.25">
      <c r="A16" s="139" t="s">
        <v>69</v>
      </c>
      <c r="B16" s="140" t="s">
        <v>66</v>
      </c>
      <c r="C16" s="292">
        <v>7</v>
      </c>
      <c r="D16" s="11"/>
      <c r="E16" s="11"/>
      <c r="K16" s="383"/>
      <c r="L16" s="383"/>
      <c r="M16" s="383"/>
    </row>
    <row r="17" spans="1:24" ht="24" customHeight="1" x14ac:dyDescent="0.25">
      <c r="A17" s="139" t="s">
        <v>70</v>
      </c>
      <c r="B17" s="140" t="s">
        <v>66</v>
      </c>
      <c r="C17" s="292">
        <v>3</v>
      </c>
      <c r="D17" s="11"/>
      <c r="E17" s="11"/>
      <c r="F17" s="383" t="s">
        <v>122</v>
      </c>
      <c r="K17" s="383"/>
      <c r="L17" s="383"/>
      <c r="M17" s="383"/>
    </row>
    <row r="18" spans="1:24" ht="24" customHeight="1" thickBot="1" x14ac:dyDescent="0.3">
      <c r="A18" s="142" t="s">
        <v>71</v>
      </c>
      <c r="B18" s="143" t="s">
        <v>7</v>
      </c>
      <c r="C18" s="293">
        <f>IF(C14&gt;0,(C14-C15-C16-C17)/C14," ")</f>
        <v>0.86575342465753424</v>
      </c>
      <c r="D18" s="144" t="str">
        <f>IF(D14&gt;0,(D14-D15-D16-D17)/D14," ")</f>
        <v xml:space="preserve"> </v>
      </c>
      <c r="E18" s="144" t="str">
        <f>IF(E14&gt;0,(E14-E15-E16-E17)/E14," ")</f>
        <v xml:space="preserve"> </v>
      </c>
      <c r="K18" s="383"/>
      <c r="L18" s="383"/>
      <c r="M18" s="383"/>
    </row>
    <row r="19" spans="1:24" ht="5.25" customHeight="1" thickBot="1" x14ac:dyDescent="0.3">
      <c r="A19" s="18"/>
      <c r="B19" s="18"/>
      <c r="C19" s="19">
        <f>IF(C4*C5*C13&gt;0,1,0)</f>
        <v>1</v>
      </c>
      <c r="D19" s="19">
        <f>IF(D4*D5*D13&gt;0,1,0)</f>
        <v>0</v>
      </c>
      <c r="E19" s="19">
        <f>IF(E4*E5*E13&gt;0,1,0)</f>
        <v>0</v>
      </c>
      <c r="K19" s="383"/>
      <c r="L19" s="383"/>
      <c r="M19" s="383"/>
    </row>
    <row r="20" spans="1:24" ht="24" customHeight="1" x14ac:dyDescent="0.25">
      <c r="A20" s="352" t="s">
        <v>72</v>
      </c>
      <c r="B20" s="353" t="s">
        <v>58</v>
      </c>
      <c r="C20" s="358">
        <f>IF(C19=0," ",C9/C5/C18)</f>
        <v>20.066037748417724</v>
      </c>
      <c r="D20" s="358" t="str">
        <f t="shared" ref="D20:E20" si="2">IF(D19=0," ",D9/D5/D18)</f>
        <v xml:space="preserve"> </v>
      </c>
      <c r="E20" s="358" t="str">
        <f t="shared" si="2"/>
        <v xml:space="preserve"> </v>
      </c>
      <c r="K20" s="383"/>
      <c r="L20" s="383"/>
      <c r="M20" s="383"/>
    </row>
    <row r="21" spans="1:24" ht="24" customHeight="1" x14ac:dyDescent="0.25">
      <c r="A21" s="354" t="s">
        <v>73</v>
      </c>
      <c r="B21" s="355" t="s">
        <v>7</v>
      </c>
      <c r="C21" s="359">
        <f>IF(C20=" "," ",C20/C4)</f>
        <v>1.433288410601266</v>
      </c>
      <c r="D21" s="360" t="str">
        <f>IF(D20=" "," ",D20/D4)</f>
        <v xml:space="preserve"> </v>
      </c>
      <c r="E21" s="360" t="str">
        <f>IF(E20=" "," ",E20/E4)</f>
        <v xml:space="preserve"> </v>
      </c>
      <c r="K21" s="383"/>
      <c r="L21" s="383"/>
      <c r="M21" s="383"/>
    </row>
    <row r="22" spans="1:24" ht="24" customHeight="1" thickBot="1" x14ac:dyDescent="0.3">
      <c r="A22" s="356" t="s">
        <v>74</v>
      </c>
      <c r="B22" s="357" t="s">
        <v>7</v>
      </c>
      <c r="C22" s="292">
        <v>65</v>
      </c>
      <c r="D22" s="11"/>
      <c r="E22" s="11"/>
      <c r="K22" s="383"/>
      <c r="L22" s="383"/>
      <c r="M22" s="383"/>
    </row>
    <row r="23" spans="1:24" s="60" customFormat="1" ht="28.8" customHeight="1" thickBot="1" x14ac:dyDescent="0.3">
      <c r="A23" s="304" t="s">
        <v>75</v>
      </c>
      <c r="B23" s="306" t="s">
        <v>58</v>
      </c>
      <c r="C23" s="307">
        <f>IF(C24=1,C20*100/C22," ")</f>
        <v>30.870827305258036</v>
      </c>
      <c r="D23" s="304" t="str">
        <f t="shared" ref="D23:E23" si="3">IF(D24=1,D20*100/D22," ")</f>
        <v xml:space="preserve"> </v>
      </c>
      <c r="E23" s="308" t="str">
        <f t="shared" si="3"/>
        <v xml:space="preserve"> </v>
      </c>
      <c r="F23" s="368"/>
      <c r="G23" s="383"/>
      <c r="H23" s="383"/>
      <c r="I23" s="383"/>
      <c r="J23" s="383"/>
      <c r="K23" s="383"/>
      <c r="L23" s="383"/>
      <c r="M23" s="383"/>
      <c r="N23" s="389"/>
      <c r="O23" s="389"/>
      <c r="P23" s="389"/>
      <c r="Q23" s="389"/>
      <c r="R23" s="389"/>
      <c r="S23" s="389"/>
      <c r="T23" s="389"/>
      <c r="U23" s="389"/>
      <c r="V23" s="389"/>
      <c r="W23" s="389"/>
      <c r="X23" s="368"/>
    </row>
    <row r="24" spans="1:24" s="373" customFormat="1" ht="15" x14ac:dyDescent="0.25">
      <c r="A24" s="393"/>
      <c r="B24" s="393"/>
      <c r="C24" s="393">
        <f>IF(C22&gt;0,1,0)</f>
        <v>1</v>
      </c>
      <c r="D24" s="393">
        <f>IF(D22&gt;0,1,0)</f>
        <v>0</v>
      </c>
      <c r="E24" s="393">
        <f>IF(E22&gt;0,1,0)</f>
        <v>0</v>
      </c>
    </row>
    <row r="25" spans="1:24" s="373" customFormat="1" ht="15.6" x14ac:dyDescent="0.25">
      <c r="A25" s="394" t="s">
        <v>56</v>
      </c>
      <c r="B25" s="393"/>
      <c r="C25" s="395"/>
      <c r="D25" s="375"/>
      <c r="E25" s="375"/>
    </row>
    <row r="26" spans="1:24" s="373" customFormat="1" ht="30" x14ac:dyDescent="0.25">
      <c r="A26" s="396" t="s">
        <v>187</v>
      </c>
      <c r="B26" s="397"/>
      <c r="C26" s="398"/>
      <c r="D26" s="399"/>
      <c r="E26" s="399"/>
    </row>
    <row r="27" spans="1:24" s="373" customFormat="1" ht="30" x14ac:dyDescent="0.25">
      <c r="A27" s="396" t="s">
        <v>185</v>
      </c>
      <c r="B27" s="397"/>
      <c r="C27" s="398"/>
      <c r="D27" s="399"/>
      <c r="E27" s="399"/>
    </row>
    <row r="28" spans="1:24" s="373" customFormat="1" ht="30" x14ac:dyDescent="0.25">
      <c r="A28" s="396" t="s">
        <v>186</v>
      </c>
      <c r="B28" s="399"/>
      <c r="C28" s="399"/>
      <c r="D28" s="399"/>
      <c r="E28" s="399"/>
    </row>
    <row r="29" spans="1:24" s="373" customFormat="1" x14ac:dyDescent="0.25">
      <c r="B29" s="399"/>
      <c r="C29" s="399"/>
      <c r="D29" s="399"/>
      <c r="E29" s="399"/>
    </row>
    <row r="30" spans="1:24" s="373" customFormat="1" ht="15" x14ac:dyDescent="0.25">
      <c r="A30" s="375"/>
      <c r="B30" s="375"/>
      <c r="C30" s="375"/>
      <c r="D30" s="375"/>
      <c r="E30" s="375"/>
    </row>
    <row r="31" spans="1:24" s="373" customFormat="1" ht="15" x14ac:dyDescent="0.25">
      <c r="A31" s="375"/>
      <c r="B31" s="375"/>
      <c r="C31" s="375"/>
      <c r="D31" s="375"/>
      <c r="E31" s="375"/>
    </row>
    <row r="32" spans="1:24" s="373" customFormat="1" ht="15" x14ac:dyDescent="0.25">
      <c r="A32" s="375"/>
      <c r="B32" s="375"/>
      <c r="C32" s="375"/>
      <c r="D32" s="375"/>
      <c r="E32" s="375"/>
    </row>
    <row r="33" spans="1:24" s="373" customFormat="1" ht="15" x14ac:dyDescent="0.25">
      <c r="A33" s="375"/>
      <c r="B33" s="375"/>
      <c r="C33" s="375"/>
      <c r="D33" s="375"/>
      <c r="E33" s="375"/>
    </row>
    <row r="34" spans="1:24" s="373" customFormat="1" ht="15" x14ac:dyDescent="0.25">
      <c r="A34" s="375"/>
      <c r="B34" s="375"/>
      <c r="C34" s="375"/>
      <c r="D34" s="375"/>
      <c r="E34" s="375"/>
    </row>
    <row r="35" spans="1:24" s="373" customFormat="1" ht="15" x14ac:dyDescent="0.25">
      <c r="B35" s="375"/>
      <c r="C35" s="375"/>
      <c r="D35" s="375"/>
      <c r="E35" s="375"/>
    </row>
    <row r="36" spans="1:24" s="373" customFormat="1" x14ac:dyDescent="0.25">
      <c r="B36" s="372"/>
      <c r="C36" s="372"/>
      <c r="D36" s="372"/>
      <c r="E36" s="372"/>
    </row>
    <row r="37" spans="1:24" s="273" customFormat="1" x14ac:dyDescent="0.25">
      <c r="B37" s="274"/>
      <c r="C37" s="274"/>
      <c r="D37" s="274"/>
      <c r="E37" s="274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</row>
    <row r="38" spans="1:24" s="273" customFormat="1" x14ac:dyDescent="0.25">
      <c r="B38" s="275"/>
      <c r="C38" s="276"/>
      <c r="D38" s="274"/>
      <c r="E38" s="274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</row>
    <row r="39" spans="1:24" s="273" customFormat="1" x14ac:dyDescent="0.25">
      <c r="A39" s="276"/>
      <c r="B39" s="275"/>
      <c r="C39" s="276"/>
      <c r="D39" s="274"/>
      <c r="E39" s="274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</row>
    <row r="40" spans="1:24" s="273" customFormat="1" x14ac:dyDescent="0.25">
      <c r="B40" s="277"/>
      <c r="D40" s="274"/>
      <c r="E40" s="274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</row>
    <row r="41" spans="1:24" s="273" customFormat="1" ht="15" x14ac:dyDescent="0.25">
      <c r="A41" s="278"/>
      <c r="B41" s="277"/>
      <c r="D41" s="274"/>
      <c r="E41" s="274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</row>
    <row r="42" spans="1:24" s="273" customFormat="1" ht="15" x14ac:dyDescent="0.25">
      <c r="A42" s="278"/>
      <c r="B42" s="277"/>
      <c r="D42" s="274"/>
      <c r="E42" s="274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</row>
    <row r="43" spans="1:24" s="273" customFormat="1" ht="15" x14ac:dyDescent="0.25">
      <c r="A43" s="278"/>
      <c r="B43" s="277"/>
      <c r="D43" s="279"/>
      <c r="E43" s="279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</row>
    <row r="44" spans="1:24" s="273" customFormat="1" ht="15" x14ac:dyDescent="0.25">
      <c r="A44" s="278"/>
      <c r="B44" s="277"/>
      <c r="D44" s="274"/>
      <c r="E44" s="274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</row>
    <row r="45" spans="1:24" s="273" customFormat="1" x14ac:dyDescent="0.25">
      <c r="B45" s="277"/>
      <c r="D45" s="280"/>
      <c r="E45" s="280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</row>
    <row r="46" spans="1:24" s="273" customFormat="1" x14ac:dyDescent="0.25">
      <c r="B46" s="277"/>
      <c r="D46" s="276"/>
      <c r="E46" s="27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</row>
    <row r="47" spans="1:24" s="273" customFormat="1" x14ac:dyDescent="0.25">
      <c r="B47" s="277"/>
      <c r="D47" s="276"/>
      <c r="E47" s="27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</row>
    <row r="48" spans="1:24" s="273" customFormat="1" x14ac:dyDescent="0.25">
      <c r="B48" s="277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</row>
    <row r="49" spans="2:24" s="273" customFormat="1" x14ac:dyDescent="0.25">
      <c r="B49" s="277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</row>
    <row r="50" spans="2:24" s="273" customFormat="1" x14ac:dyDescent="0.25">
      <c r="B50" s="277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</row>
    <row r="51" spans="2:24" s="273" customFormat="1" x14ac:dyDescent="0.25">
      <c r="B51" s="277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</row>
    <row r="52" spans="2:24" s="273" customFormat="1" x14ac:dyDescent="0.25">
      <c r="B52" s="277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</row>
    <row r="53" spans="2:24" s="273" customFormat="1" x14ac:dyDescent="0.25">
      <c r="B53" s="277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</row>
    <row r="54" spans="2:24" s="273" customFormat="1" x14ac:dyDescent="0.25">
      <c r="B54" s="277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</row>
    <row r="55" spans="2:24" s="273" customFormat="1" x14ac:dyDescent="0.25">
      <c r="B55" s="277"/>
      <c r="F55" s="386"/>
      <c r="G55" s="386"/>
      <c r="H55" s="386"/>
      <c r="I55" s="386"/>
      <c r="J55" s="386"/>
      <c r="K55" s="386"/>
      <c r="L55" s="386"/>
      <c r="M55" s="386"/>
      <c r="N55" s="386"/>
      <c r="O55" s="386"/>
      <c r="P55" s="386"/>
      <c r="Q55" s="386"/>
      <c r="R55" s="386"/>
      <c r="S55" s="386"/>
      <c r="T55" s="386"/>
      <c r="U55" s="386"/>
      <c r="V55" s="386"/>
      <c r="W55" s="386"/>
      <c r="X55" s="386"/>
    </row>
    <row r="56" spans="2:24" s="273" customFormat="1" x14ac:dyDescent="0.25">
      <c r="B56" s="277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  <c r="W56" s="386"/>
      <c r="X56" s="386"/>
    </row>
    <row r="57" spans="2:24" s="273" customFormat="1" x14ac:dyDescent="0.25">
      <c r="B57" s="277"/>
      <c r="F57" s="386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6"/>
    </row>
    <row r="58" spans="2:24" s="273" customFormat="1" x14ac:dyDescent="0.25">
      <c r="B58" s="277"/>
      <c r="F58" s="386"/>
      <c r="G58" s="386"/>
      <c r="H58" s="386"/>
      <c r="I58" s="386"/>
      <c r="J58" s="386"/>
      <c r="K58" s="386"/>
      <c r="L58" s="386"/>
      <c r="M58" s="386"/>
      <c r="N58" s="386"/>
      <c r="O58" s="386"/>
      <c r="P58" s="386"/>
      <c r="Q58" s="386"/>
      <c r="R58" s="386"/>
      <c r="S58" s="386"/>
      <c r="T58" s="386"/>
      <c r="U58" s="386"/>
      <c r="V58" s="386"/>
      <c r="W58" s="386"/>
      <c r="X58" s="386"/>
    </row>
    <row r="59" spans="2:24" s="273" customFormat="1" x14ac:dyDescent="0.25">
      <c r="B59" s="277"/>
      <c r="F59" s="386"/>
      <c r="G59" s="386"/>
      <c r="H59" s="386"/>
      <c r="I59" s="386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</row>
    <row r="60" spans="2:24" s="273" customFormat="1" x14ac:dyDescent="0.25">
      <c r="B60" s="277"/>
      <c r="F60" s="386"/>
      <c r="G60" s="386"/>
      <c r="H60" s="386"/>
      <c r="I60" s="386"/>
      <c r="J60" s="386"/>
      <c r="K60" s="386"/>
      <c r="L60" s="386"/>
      <c r="M60" s="386"/>
      <c r="N60" s="386"/>
      <c r="O60" s="386"/>
      <c r="P60" s="386"/>
      <c r="Q60" s="386"/>
      <c r="R60" s="386"/>
      <c r="S60" s="386"/>
      <c r="T60" s="386"/>
      <c r="U60" s="386"/>
      <c r="V60" s="386"/>
      <c r="W60" s="386"/>
      <c r="X60" s="386"/>
    </row>
    <row r="61" spans="2:24" s="273" customFormat="1" x14ac:dyDescent="0.25">
      <c r="B61" s="277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</row>
    <row r="62" spans="2:24" s="273" customFormat="1" x14ac:dyDescent="0.25">
      <c r="B62" s="277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</row>
    <row r="63" spans="2:24" s="273" customFormat="1" x14ac:dyDescent="0.25">
      <c r="B63" s="277"/>
      <c r="F63" s="386"/>
      <c r="G63" s="386"/>
      <c r="H63" s="386"/>
      <c r="I63" s="386"/>
      <c r="J63" s="386"/>
      <c r="K63" s="386"/>
      <c r="L63" s="386"/>
      <c r="M63" s="386"/>
      <c r="N63" s="386"/>
      <c r="O63" s="386"/>
      <c r="P63" s="386"/>
      <c r="Q63" s="386"/>
      <c r="R63" s="386"/>
      <c r="S63" s="386"/>
      <c r="T63" s="386"/>
      <c r="U63" s="386"/>
      <c r="V63" s="386"/>
      <c r="W63" s="386"/>
      <c r="X63" s="386"/>
    </row>
    <row r="64" spans="2:24" s="273" customFormat="1" x14ac:dyDescent="0.25">
      <c r="B64" s="277"/>
      <c r="F64" s="386"/>
      <c r="G64" s="386"/>
      <c r="H64" s="386"/>
      <c r="I64" s="386"/>
      <c r="J64" s="386"/>
      <c r="K64" s="386"/>
      <c r="L64" s="386"/>
      <c r="M64" s="386"/>
      <c r="N64" s="386"/>
      <c r="O64" s="386"/>
      <c r="P64" s="386"/>
      <c r="Q64" s="386"/>
      <c r="R64" s="386"/>
      <c r="S64" s="386"/>
      <c r="T64" s="386"/>
      <c r="U64" s="386"/>
      <c r="V64" s="386"/>
      <c r="W64" s="386"/>
      <c r="X64" s="386"/>
    </row>
    <row r="65" spans="2:24" s="273" customFormat="1" x14ac:dyDescent="0.25">
      <c r="B65" s="277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</row>
    <row r="66" spans="2:24" s="273" customFormat="1" x14ac:dyDescent="0.25">
      <c r="B66" s="277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  <c r="U66" s="386"/>
      <c r="V66" s="386"/>
      <c r="W66" s="386"/>
      <c r="X66" s="386"/>
    </row>
    <row r="67" spans="2:24" s="273" customFormat="1" x14ac:dyDescent="0.25">
      <c r="B67" s="277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  <c r="U67" s="386"/>
      <c r="V67" s="386"/>
      <c r="W67" s="386"/>
      <c r="X67" s="386"/>
    </row>
    <row r="68" spans="2:24" s="273" customFormat="1" x14ac:dyDescent="0.25">
      <c r="B68" s="277"/>
      <c r="F68" s="386"/>
      <c r="G68" s="386"/>
      <c r="H68" s="386"/>
      <c r="I68" s="386"/>
      <c r="J68" s="386"/>
      <c r="K68" s="386"/>
      <c r="L68" s="386"/>
      <c r="M68" s="386"/>
      <c r="N68" s="386"/>
      <c r="O68" s="386"/>
      <c r="P68" s="386"/>
      <c r="Q68" s="386"/>
      <c r="R68" s="386"/>
      <c r="S68" s="386"/>
      <c r="T68" s="386"/>
      <c r="U68" s="386"/>
      <c r="V68" s="386"/>
      <c r="W68" s="386"/>
      <c r="X68" s="386"/>
    </row>
    <row r="69" spans="2:24" s="273" customFormat="1" x14ac:dyDescent="0.25">
      <c r="B69" s="277"/>
      <c r="F69" s="386"/>
      <c r="G69" s="386"/>
      <c r="H69" s="386"/>
      <c r="I69" s="386"/>
      <c r="J69" s="386"/>
      <c r="K69" s="386"/>
      <c r="L69" s="386"/>
      <c r="M69" s="386"/>
      <c r="N69" s="386"/>
      <c r="O69" s="386"/>
      <c r="P69" s="386"/>
      <c r="Q69" s="386"/>
      <c r="R69" s="386"/>
      <c r="S69" s="386"/>
      <c r="T69" s="386"/>
      <c r="U69" s="386"/>
      <c r="V69" s="386"/>
      <c r="W69" s="386"/>
      <c r="X69" s="386"/>
    </row>
    <row r="70" spans="2:24" s="273" customFormat="1" x14ac:dyDescent="0.25">
      <c r="B70" s="277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386"/>
      <c r="Q70" s="386"/>
      <c r="R70" s="386"/>
      <c r="S70" s="386"/>
      <c r="T70" s="386"/>
      <c r="U70" s="386"/>
      <c r="V70" s="386"/>
      <c r="W70" s="386"/>
      <c r="X70" s="386"/>
    </row>
    <row r="71" spans="2:24" s="273" customFormat="1" x14ac:dyDescent="0.25">
      <c r="B71" s="277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386"/>
      <c r="Q71" s="386"/>
      <c r="R71" s="386"/>
      <c r="S71" s="386"/>
      <c r="T71" s="386"/>
      <c r="U71" s="386"/>
      <c r="V71" s="386"/>
      <c r="W71" s="386"/>
      <c r="X71" s="386"/>
    </row>
    <row r="72" spans="2:24" s="273" customFormat="1" x14ac:dyDescent="0.25">
      <c r="B72" s="277"/>
      <c r="F72" s="386"/>
      <c r="G72" s="386"/>
      <c r="H72" s="386"/>
      <c r="I72" s="386"/>
      <c r="J72" s="386"/>
      <c r="K72" s="386"/>
      <c r="L72" s="386"/>
      <c r="M72" s="386"/>
      <c r="N72" s="386"/>
      <c r="O72" s="386"/>
      <c r="P72" s="386"/>
      <c r="Q72" s="386"/>
      <c r="R72" s="386"/>
      <c r="S72" s="386"/>
      <c r="T72" s="386"/>
      <c r="U72" s="386"/>
      <c r="V72" s="386"/>
      <c r="W72" s="386"/>
      <c r="X72" s="386"/>
    </row>
    <row r="73" spans="2:24" s="273" customFormat="1" x14ac:dyDescent="0.25">
      <c r="B73" s="277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</row>
    <row r="74" spans="2:24" s="273" customFormat="1" x14ac:dyDescent="0.25">
      <c r="B74" s="277"/>
      <c r="F74" s="386"/>
      <c r="G74" s="386"/>
      <c r="H74" s="386"/>
      <c r="I74" s="386"/>
      <c r="J74" s="386"/>
      <c r="K74" s="386"/>
      <c r="L74" s="386"/>
      <c r="M74" s="386"/>
      <c r="N74" s="386"/>
      <c r="O74" s="386"/>
      <c r="P74" s="386"/>
      <c r="Q74" s="386"/>
      <c r="R74" s="386"/>
      <c r="S74" s="386"/>
      <c r="T74" s="386"/>
      <c r="U74" s="386"/>
      <c r="V74" s="386"/>
      <c r="W74" s="386"/>
      <c r="X74" s="386"/>
    </row>
    <row r="75" spans="2:24" s="273" customFormat="1" x14ac:dyDescent="0.25">
      <c r="B75" s="277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6"/>
      <c r="T75" s="386"/>
      <c r="U75" s="386"/>
      <c r="V75" s="386"/>
      <c r="W75" s="386"/>
      <c r="X75" s="386"/>
    </row>
    <row r="76" spans="2:24" s="273" customFormat="1" x14ac:dyDescent="0.25">
      <c r="B76" s="277"/>
      <c r="F76" s="386"/>
      <c r="G76" s="386"/>
      <c r="H76" s="386"/>
      <c r="I76" s="386"/>
      <c r="J76" s="386"/>
      <c r="K76" s="386"/>
      <c r="L76" s="386"/>
      <c r="M76" s="386"/>
      <c r="N76" s="386"/>
      <c r="O76" s="386"/>
      <c r="P76" s="386"/>
      <c r="Q76" s="386"/>
      <c r="R76" s="386"/>
      <c r="S76" s="386"/>
      <c r="T76" s="386"/>
      <c r="U76" s="386"/>
      <c r="V76" s="386"/>
      <c r="W76" s="386"/>
      <c r="X76" s="386"/>
    </row>
    <row r="77" spans="2:24" s="273" customFormat="1" x14ac:dyDescent="0.25">
      <c r="B77" s="277"/>
      <c r="F77" s="386"/>
      <c r="G77" s="386"/>
      <c r="H77" s="386"/>
      <c r="I77" s="386"/>
      <c r="J77" s="386"/>
      <c r="K77" s="386"/>
      <c r="L77" s="386"/>
      <c r="M77" s="386"/>
      <c r="N77" s="386"/>
      <c r="O77" s="386"/>
      <c r="P77" s="386"/>
      <c r="Q77" s="386"/>
      <c r="R77" s="386"/>
      <c r="S77" s="386"/>
      <c r="T77" s="386"/>
      <c r="U77" s="386"/>
      <c r="V77" s="386"/>
      <c r="W77" s="386"/>
      <c r="X77" s="386"/>
    </row>
    <row r="78" spans="2:24" s="273" customFormat="1" x14ac:dyDescent="0.25">
      <c r="B78" s="277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  <c r="X78" s="386"/>
    </row>
    <row r="79" spans="2:24" s="273" customFormat="1" x14ac:dyDescent="0.25">
      <c r="B79" s="277"/>
      <c r="F79" s="386"/>
      <c r="G79" s="386"/>
      <c r="H79" s="386"/>
      <c r="I79" s="386"/>
      <c r="J79" s="386"/>
      <c r="K79" s="386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  <c r="X79" s="386"/>
    </row>
    <row r="80" spans="2:24" s="273" customFormat="1" x14ac:dyDescent="0.25">
      <c r="B80" s="277"/>
      <c r="F80" s="386"/>
      <c r="G80" s="386"/>
      <c r="H80" s="386"/>
      <c r="I80" s="386"/>
      <c r="J80" s="386"/>
      <c r="K80" s="38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  <c r="X80" s="386"/>
    </row>
    <row r="81" spans="2:24" s="273" customFormat="1" x14ac:dyDescent="0.25">
      <c r="B81" s="277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</row>
    <row r="82" spans="2:24" s="273" customFormat="1" x14ac:dyDescent="0.25">
      <c r="B82" s="277"/>
      <c r="F82" s="386"/>
      <c r="G82" s="386"/>
      <c r="H82" s="386"/>
      <c r="I82" s="386"/>
      <c r="J82" s="386"/>
      <c r="K82" s="386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  <c r="X82" s="386"/>
    </row>
    <row r="83" spans="2:24" s="273" customFormat="1" x14ac:dyDescent="0.25">
      <c r="B83" s="277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  <c r="X83" s="386"/>
    </row>
    <row r="84" spans="2:24" s="273" customFormat="1" x14ac:dyDescent="0.25">
      <c r="B84" s="277"/>
      <c r="F84" s="386"/>
      <c r="G84" s="386"/>
      <c r="H84" s="386"/>
      <c r="I84" s="386"/>
      <c r="J84" s="386"/>
      <c r="K84" s="386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  <c r="X84" s="386"/>
    </row>
    <row r="85" spans="2:24" s="273" customFormat="1" x14ac:dyDescent="0.25">
      <c r="B85" s="277"/>
      <c r="F85" s="386"/>
      <c r="G85" s="386"/>
      <c r="H85" s="386"/>
      <c r="I85" s="386"/>
      <c r="J85" s="386"/>
      <c r="K85" s="386"/>
      <c r="L85" s="386"/>
      <c r="M85" s="386"/>
      <c r="N85" s="386"/>
      <c r="O85" s="386"/>
      <c r="P85" s="386"/>
      <c r="Q85" s="386"/>
      <c r="R85" s="386"/>
      <c r="S85" s="386"/>
      <c r="T85" s="386"/>
      <c r="U85" s="386"/>
      <c r="V85" s="386"/>
      <c r="W85" s="386"/>
      <c r="X85" s="386"/>
    </row>
    <row r="86" spans="2:24" s="273" customFormat="1" x14ac:dyDescent="0.25">
      <c r="B86" s="277"/>
      <c r="F86" s="386"/>
      <c r="G86" s="386"/>
      <c r="H86" s="386"/>
      <c r="I86" s="386"/>
      <c r="J86" s="386"/>
      <c r="K86" s="386"/>
      <c r="L86" s="386"/>
      <c r="M86" s="386"/>
      <c r="N86" s="386"/>
      <c r="O86" s="386"/>
      <c r="P86" s="386"/>
      <c r="Q86" s="386"/>
      <c r="R86" s="386"/>
      <c r="S86" s="386"/>
      <c r="T86" s="386"/>
      <c r="U86" s="386"/>
      <c r="V86" s="386"/>
      <c r="W86" s="386"/>
      <c r="X86" s="386"/>
    </row>
    <row r="87" spans="2:24" s="273" customFormat="1" x14ac:dyDescent="0.25">
      <c r="B87" s="277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  <c r="W87" s="386"/>
      <c r="X87" s="386"/>
    </row>
    <row r="88" spans="2:24" s="273" customFormat="1" x14ac:dyDescent="0.25">
      <c r="B88" s="277"/>
      <c r="F88" s="386"/>
      <c r="G88" s="386"/>
      <c r="H88" s="386"/>
      <c r="I88" s="386"/>
      <c r="J88" s="386"/>
      <c r="K88" s="386"/>
      <c r="L88" s="386"/>
      <c r="M88" s="386"/>
      <c r="N88" s="386"/>
      <c r="O88" s="386"/>
      <c r="P88" s="386"/>
      <c r="Q88" s="386"/>
      <c r="R88" s="386"/>
      <c r="S88" s="386"/>
      <c r="T88" s="386"/>
      <c r="U88" s="386"/>
      <c r="V88" s="386"/>
      <c r="W88" s="386"/>
      <c r="X88" s="386"/>
    </row>
    <row r="89" spans="2:24" s="273" customFormat="1" x14ac:dyDescent="0.25">
      <c r="B89" s="277"/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  <c r="W89" s="386"/>
      <c r="X89" s="386"/>
    </row>
    <row r="90" spans="2:24" s="273" customFormat="1" x14ac:dyDescent="0.25">
      <c r="B90" s="277"/>
      <c r="F90" s="386"/>
      <c r="G90" s="386"/>
      <c r="H90" s="386"/>
      <c r="I90" s="386"/>
      <c r="J90" s="386"/>
      <c r="K90" s="386"/>
      <c r="L90" s="386"/>
      <c r="M90" s="386"/>
      <c r="N90" s="386"/>
      <c r="O90" s="386"/>
      <c r="P90" s="386"/>
      <c r="Q90" s="386"/>
      <c r="R90" s="386"/>
      <c r="S90" s="386"/>
      <c r="T90" s="386"/>
      <c r="U90" s="386"/>
      <c r="V90" s="386"/>
      <c r="W90" s="386"/>
      <c r="X90" s="386"/>
    </row>
    <row r="91" spans="2:24" s="273" customFormat="1" x14ac:dyDescent="0.25">
      <c r="B91" s="277"/>
      <c r="F91" s="386"/>
      <c r="G91" s="386"/>
      <c r="H91" s="386"/>
      <c r="I91" s="386"/>
      <c r="J91" s="386"/>
      <c r="K91" s="386"/>
      <c r="L91" s="386"/>
      <c r="M91" s="386"/>
      <c r="N91" s="386"/>
      <c r="O91" s="386"/>
      <c r="P91" s="386"/>
      <c r="Q91" s="386"/>
      <c r="R91" s="386"/>
      <c r="S91" s="386"/>
      <c r="T91" s="386"/>
      <c r="U91" s="386"/>
      <c r="V91" s="386"/>
      <c r="W91" s="386"/>
      <c r="X91" s="386"/>
    </row>
    <row r="92" spans="2:24" s="273" customFormat="1" x14ac:dyDescent="0.25">
      <c r="B92" s="277"/>
      <c r="F92" s="386"/>
      <c r="G92" s="386"/>
      <c r="H92" s="386"/>
      <c r="I92" s="386"/>
      <c r="J92" s="386"/>
      <c r="K92" s="386"/>
      <c r="L92" s="386"/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</row>
    <row r="93" spans="2:24" s="273" customFormat="1" x14ac:dyDescent="0.25">
      <c r="B93" s="277"/>
      <c r="F93" s="386"/>
      <c r="G93" s="386"/>
      <c r="H93" s="386"/>
      <c r="I93" s="386"/>
      <c r="J93" s="386"/>
      <c r="K93" s="386"/>
      <c r="L93" s="386"/>
      <c r="M93" s="386"/>
      <c r="N93" s="386"/>
      <c r="O93" s="386"/>
      <c r="P93" s="386"/>
      <c r="Q93" s="386"/>
      <c r="R93" s="386"/>
      <c r="S93" s="386"/>
      <c r="T93" s="386"/>
      <c r="U93" s="386"/>
      <c r="V93" s="386"/>
      <c r="W93" s="386"/>
      <c r="X93" s="386"/>
    </row>
    <row r="94" spans="2:24" s="273" customFormat="1" x14ac:dyDescent="0.25">
      <c r="B94" s="277"/>
      <c r="F94" s="386"/>
      <c r="G94" s="386"/>
      <c r="H94" s="386"/>
      <c r="I94" s="386"/>
      <c r="J94" s="386"/>
      <c r="K94" s="386"/>
      <c r="L94" s="386"/>
      <c r="M94" s="386"/>
      <c r="N94" s="386"/>
      <c r="O94" s="386"/>
      <c r="P94" s="386"/>
      <c r="Q94" s="386"/>
      <c r="R94" s="386"/>
      <c r="S94" s="386"/>
      <c r="T94" s="386"/>
      <c r="U94" s="386"/>
      <c r="V94" s="386"/>
      <c r="W94" s="386"/>
      <c r="X94" s="386"/>
    </row>
    <row r="95" spans="2:24" s="273" customFormat="1" x14ac:dyDescent="0.25">
      <c r="B95" s="277"/>
      <c r="F95" s="386"/>
      <c r="G95" s="386"/>
      <c r="H95" s="386"/>
      <c r="I95" s="386"/>
      <c r="J95" s="386"/>
      <c r="K95" s="386"/>
      <c r="L95" s="386"/>
      <c r="M95" s="386"/>
      <c r="N95" s="386"/>
      <c r="O95" s="386"/>
      <c r="P95" s="386"/>
      <c r="Q95" s="386"/>
      <c r="R95" s="386"/>
      <c r="S95" s="386"/>
      <c r="T95" s="386"/>
      <c r="U95" s="386"/>
      <c r="V95" s="386"/>
      <c r="W95" s="386"/>
      <c r="X95" s="386"/>
    </row>
    <row r="96" spans="2:24" s="273" customFormat="1" x14ac:dyDescent="0.25">
      <c r="B96" s="277"/>
      <c r="F96" s="386"/>
      <c r="G96" s="386"/>
      <c r="H96" s="386"/>
      <c r="I96" s="386"/>
      <c r="J96" s="386"/>
      <c r="K96" s="386"/>
      <c r="L96" s="386"/>
      <c r="M96" s="386"/>
      <c r="N96" s="386"/>
      <c r="O96" s="386"/>
      <c r="P96" s="386"/>
      <c r="Q96" s="386"/>
      <c r="R96" s="386"/>
      <c r="S96" s="386"/>
      <c r="T96" s="386"/>
      <c r="U96" s="386"/>
      <c r="V96" s="386"/>
      <c r="W96" s="386"/>
      <c r="X96" s="386"/>
    </row>
    <row r="97" spans="2:24" s="273" customFormat="1" x14ac:dyDescent="0.25">
      <c r="B97" s="277"/>
      <c r="F97" s="386"/>
      <c r="G97" s="386"/>
      <c r="H97" s="386"/>
      <c r="I97" s="386"/>
      <c r="J97" s="386"/>
      <c r="K97" s="386"/>
      <c r="L97" s="386"/>
      <c r="M97" s="386"/>
      <c r="N97" s="386"/>
      <c r="O97" s="386"/>
      <c r="P97" s="386"/>
      <c r="Q97" s="386"/>
      <c r="R97" s="386"/>
      <c r="S97" s="386"/>
      <c r="T97" s="386"/>
      <c r="U97" s="386"/>
      <c r="V97" s="386"/>
      <c r="W97" s="386"/>
      <c r="X97" s="386"/>
    </row>
    <row r="98" spans="2:24" s="273" customFormat="1" x14ac:dyDescent="0.25">
      <c r="B98" s="277"/>
      <c r="F98" s="386"/>
      <c r="G98" s="386"/>
      <c r="H98" s="386"/>
      <c r="I98" s="386"/>
      <c r="J98" s="386"/>
      <c r="K98" s="386"/>
      <c r="L98" s="386"/>
      <c r="M98" s="386"/>
      <c r="N98" s="386"/>
      <c r="O98" s="386"/>
      <c r="P98" s="386"/>
      <c r="Q98" s="386"/>
      <c r="R98" s="386"/>
      <c r="S98" s="386"/>
      <c r="T98" s="386"/>
      <c r="U98" s="386"/>
      <c r="V98" s="386"/>
      <c r="W98" s="386"/>
      <c r="X98" s="386"/>
    </row>
    <row r="99" spans="2:24" s="273" customFormat="1" x14ac:dyDescent="0.25">
      <c r="B99" s="277"/>
      <c r="F99" s="386"/>
      <c r="G99" s="386"/>
      <c r="H99" s="386"/>
      <c r="I99" s="386"/>
      <c r="J99" s="386"/>
      <c r="K99" s="386"/>
      <c r="L99" s="386"/>
      <c r="M99" s="386"/>
      <c r="N99" s="386"/>
      <c r="O99" s="386"/>
      <c r="P99" s="386"/>
      <c r="Q99" s="386"/>
      <c r="R99" s="386"/>
      <c r="S99" s="386"/>
      <c r="T99" s="386"/>
      <c r="U99" s="386"/>
      <c r="V99" s="386"/>
      <c r="W99" s="386"/>
      <c r="X99" s="386"/>
    </row>
    <row r="100" spans="2:24" s="273" customFormat="1" x14ac:dyDescent="0.25">
      <c r="B100" s="277"/>
      <c r="F100" s="386"/>
      <c r="G100" s="386"/>
      <c r="H100" s="386"/>
      <c r="I100" s="386"/>
      <c r="J100" s="386"/>
      <c r="K100" s="386"/>
      <c r="L100" s="386"/>
      <c r="M100" s="386"/>
      <c r="N100" s="386"/>
      <c r="O100" s="386"/>
      <c r="P100" s="386"/>
      <c r="Q100" s="386"/>
      <c r="R100" s="386"/>
      <c r="S100" s="386"/>
      <c r="T100" s="386"/>
      <c r="U100" s="386"/>
      <c r="V100" s="386"/>
      <c r="W100" s="386"/>
      <c r="X100" s="386"/>
    </row>
    <row r="101" spans="2:24" s="273" customFormat="1" x14ac:dyDescent="0.25">
      <c r="B101" s="277"/>
      <c r="F101" s="386"/>
      <c r="G101" s="386"/>
      <c r="H101" s="386"/>
      <c r="I101" s="386"/>
      <c r="J101" s="386"/>
      <c r="K101" s="386"/>
      <c r="L101" s="386"/>
      <c r="M101" s="386"/>
      <c r="N101" s="386"/>
      <c r="O101" s="386"/>
      <c r="P101" s="386"/>
      <c r="Q101" s="386"/>
      <c r="R101" s="386"/>
      <c r="S101" s="386"/>
      <c r="T101" s="386"/>
      <c r="U101" s="386"/>
      <c r="V101" s="386"/>
      <c r="W101" s="386"/>
      <c r="X101" s="386"/>
    </row>
    <row r="102" spans="2:24" s="273" customFormat="1" x14ac:dyDescent="0.25">
      <c r="B102" s="277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  <c r="T102" s="386"/>
      <c r="U102" s="386"/>
      <c r="V102" s="386"/>
      <c r="W102" s="386"/>
      <c r="X102" s="386"/>
    </row>
    <row r="103" spans="2:24" s="273" customFormat="1" x14ac:dyDescent="0.25">
      <c r="B103" s="277"/>
      <c r="F103" s="386"/>
      <c r="G103" s="386"/>
      <c r="H103" s="386"/>
      <c r="I103" s="386"/>
      <c r="J103" s="386"/>
      <c r="K103" s="386"/>
      <c r="L103" s="386"/>
      <c r="M103" s="386"/>
      <c r="N103" s="386"/>
      <c r="O103" s="386"/>
      <c r="P103" s="386"/>
      <c r="Q103" s="386"/>
      <c r="R103" s="386"/>
      <c r="S103" s="386"/>
      <c r="T103" s="386"/>
      <c r="U103" s="386"/>
      <c r="V103" s="386"/>
      <c r="W103" s="386"/>
      <c r="X103" s="386"/>
    </row>
    <row r="104" spans="2:24" s="273" customFormat="1" x14ac:dyDescent="0.25">
      <c r="B104" s="277"/>
      <c r="F104" s="386"/>
      <c r="G104" s="386"/>
      <c r="H104" s="386"/>
      <c r="I104" s="386"/>
      <c r="J104" s="386"/>
      <c r="K104" s="386"/>
      <c r="L104" s="386"/>
      <c r="M104" s="386"/>
      <c r="N104" s="386"/>
      <c r="O104" s="386"/>
      <c r="P104" s="386"/>
      <c r="Q104" s="386"/>
      <c r="R104" s="386"/>
      <c r="S104" s="386"/>
      <c r="T104" s="386"/>
      <c r="U104" s="386"/>
      <c r="V104" s="386"/>
      <c r="W104" s="386"/>
      <c r="X104" s="386"/>
    </row>
    <row r="105" spans="2:24" s="273" customFormat="1" x14ac:dyDescent="0.25">
      <c r="B105" s="277"/>
      <c r="F105" s="386"/>
      <c r="G105" s="386"/>
      <c r="H105" s="386"/>
      <c r="I105" s="386"/>
      <c r="J105" s="386"/>
      <c r="K105" s="386"/>
      <c r="L105" s="386"/>
      <c r="M105" s="386"/>
      <c r="N105" s="386"/>
      <c r="O105" s="386"/>
      <c r="P105" s="386"/>
      <c r="Q105" s="386"/>
      <c r="R105" s="386"/>
      <c r="S105" s="386"/>
      <c r="T105" s="386"/>
      <c r="U105" s="386"/>
      <c r="V105" s="386"/>
      <c r="W105" s="386"/>
      <c r="X105" s="386"/>
    </row>
    <row r="106" spans="2:24" s="273" customFormat="1" x14ac:dyDescent="0.25">
      <c r="B106" s="277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  <c r="P106" s="386"/>
      <c r="Q106" s="386"/>
      <c r="R106" s="386"/>
      <c r="S106" s="386"/>
      <c r="T106" s="386"/>
      <c r="U106" s="386"/>
      <c r="V106" s="386"/>
      <c r="W106" s="386"/>
      <c r="X106" s="386"/>
    </row>
    <row r="107" spans="2:24" s="273" customFormat="1" x14ac:dyDescent="0.25">
      <c r="B107" s="277"/>
      <c r="F107" s="386"/>
      <c r="G107" s="386"/>
      <c r="H107" s="386"/>
      <c r="I107" s="386"/>
      <c r="J107" s="386"/>
      <c r="K107" s="386"/>
      <c r="L107" s="386"/>
      <c r="M107" s="386"/>
      <c r="N107" s="386"/>
      <c r="O107" s="386"/>
      <c r="P107" s="386"/>
      <c r="Q107" s="386"/>
      <c r="R107" s="386"/>
      <c r="S107" s="386"/>
      <c r="T107" s="386"/>
      <c r="U107" s="386"/>
      <c r="V107" s="386"/>
      <c r="W107" s="386"/>
      <c r="X107" s="386"/>
    </row>
    <row r="108" spans="2:24" s="273" customFormat="1" x14ac:dyDescent="0.25">
      <c r="B108" s="277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6"/>
      <c r="Q108" s="386"/>
      <c r="R108" s="386"/>
      <c r="S108" s="386"/>
      <c r="T108" s="386"/>
      <c r="U108" s="386"/>
      <c r="V108" s="386"/>
      <c r="W108" s="386"/>
      <c r="X108" s="386"/>
    </row>
    <row r="109" spans="2:24" s="273" customFormat="1" x14ac:dyDescent="0.25">
      <c r="B109" s="277"/>
      <c r="F109" s="386"/>
      <c r="G109" s="386"/>
      <c r="H109" s="386"/>
      <c r="I109" s="386"/>
      <c r="J109" s="386"/>
      <c r="K109" s="386"/>
      <c r="L109" s="386"/>
      <c r="M109" s="386"/>
      <c r="N109" s="386"/>
      <c r="O109" s="386"/>
      <c r="P109" s="386"/>
      <c r="Q109" s="386"/>
      <c r="R109" s="386"/>
      <c r="S109" s="386"/>
      <c r="T109" s="386"/>
      <c r="U109" s="386"/>
      <c r="V109" s="386"/>
      <c r="W109" s="386"/>
      <c r="X109" s="386"/>
    </row>
    <row r="110" spans="2:24" s="273" customFormat="1" x14ac:dyDescent="0.25">
      <c r="B110" s="277"/>
      <c r="F110" s="386"/>
      <c r="G110" s="386"/>
      <c r="H110" s="386"/>
      <c r="I110" s="386"/>
      <c r="J110" s="386"/>
      <c r="K110" s="386"/>
      <c r="L110" s="386"/>
      <c r="M110" s="386"/>
      <c r="N110" s="386"/>
      <c r="O110" s="386"/>
      <c r="P110" s="386"/>
      <c r="Q110" s="386"/>
      <c r="R110" s="386"/>
      <c r="S110" s="386"/>
      <c r="T110" s="386"/>
      <c r="U110" s="386"/>
      <c r="V110" s="386"/>
      <c r="W110" s="386"/>
      <c r="X110" s="386"/>
    </row>
    <row r="111" spans="2:24" s="273" customFormat="1" x14ac:dyDescent="0.25">
      <c r="B111" s="277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  <c r="T111" s="386"/>
      <c r="U111" s="386"/>
      <c r="V111" s="386"/>
      <c r="W111" s="386"/>
      <c r="X111" s="386"/>
    </row>
    <row r="112" spans="2:24" s="273" customFormat="1" x14ac:dyDescent="0.25">
      <c r="B112" s="277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6"/>
      <c r="Q112" s="386"/>
      <c r="R112" s="386"/>
      <c r="S112" s="386"/>
      <c r="T112" s="386"/>
      <c r="U112" s="386"/>
      <c r="V112" s="386"/>
      <c r="W112" s="386"/>
      <c r="X112" s="386"/>
    </row>
    <row r="113" spans="2:24" s="273" customFormat="1" x14ac:dyDescent="0.25">
      <c r="B113" s="277"/>
      <c r="F113" s="386"/>
      <c r="G113" s="386"/>
      <c r="H113" s="386"/>
      <c r="I113" s="386"/>
      <c r="J113" s="386"/>
      <c r="K113" s="386"/>
      <c r="L113" s="386"/>
      <c r="M113" s="386"/>
      <c r="N113" s="386"/>
      <c r="O113" s="386"/>
      <c r="P113" s="386"/>
      <c r="Q113" s="386"/>
      <c r="R113" s="386"/>
      <c r="S113" s="386"/>
      <c r="T113" s="386"/>
      <c r="U113" s="386"/>
      <c r="V113" s="386"/>
      <c r="W113" s="386"/>
      <c r="X113" s="386"/>
    </row>
    <row r="114" spans="2:24" s="273" customFormat="1" x14ac:dyDescent="0.25">
      <c r="B114" s="277"/>
      <c r="F114" s="386"/>
      <c r="G114" s="386"/>
      <c r="H114" s="386"/>
      <c r="I114" s="386"/>
      <c r="J114" s="386"/>
      <c r="K114" s="386"/>
      <c r="L114" s="386"/>
      <c r="M114" s="386"/>
      <c r="N114" s="386"/>
      <c r="O114" s="386"/>
      <c r="P114" s="386"/>
      <c r="Q114" s="386"/>
      <c r="R114" s="386"/>
      <c r="S114" s="386"/>
      <c r="T114" s="386"/>
      <c r="U114" s="386"/>
      <c r="V114" s="386"/>
      <c r="W114" s="386"/>
      <c r="X114" s="386"/>
    </row>
    <row r="115" spans="2:24" s="273" customFormat="1" x14ac:dyDescent="0.25">
      <c r="B115" s="277"/>
      <c r="F115" s="386"/>
      <c r="G115" s="386"/>
      <c r="H115" s="386"/>
      <c r="I115" s="386"/>
      <c r="J115" s="386"/>
      <c r="K115" s="386"/>
      <c r="L115" s="386"/>
      <c r="M115" s="386"/>
      <c r="N115" s="386"/>
      <c r="O115" s="386"/>
      <c r="P115" s="386"/>
      <c r="Q115" s="386"/>
      <c r="R115" s="386"/>
      <c r="S115" s="386"/>
      <c r="T115" s="386"/>
      <c r="U115" s="386"/>
      <c r="V115" s="386"/>
      <c r="W115" s="386"/>
      <c r="X115" s="386"/>
    </row>
    <row r="116" spans="2:24" s="273" customFormat="1" x14ac:dyDescent="0.25">
      <c r="B116" s="277"/>
      <c r="F116" s="386"/>
      <c r="G116" s="386"/>
      <c r="H116" s="386"/>
      <c r="I116" s="386"/>
      <c r="J116" s="386"/>
      <c r="K116" s="386"/>
      <c r="L116" s="386"/>
      <c r="M116" s="386"/>
      <c r="N116" s="386"/>
      <c r="O116" s="386"/>
      <c r="P116" s="386"/>
      <c r="Q116" s="386"/>
      <c r="R116" s="386"/>
      <c r="S116" s="386"/>
      <c r="T116" s="386"/>
      <c r="U116" s="386"/>
      <c r="V116" s="386"/>
      <c r="W116" s="386"/>
      <c r="X116" s="386"/>
    </row>
    <row r="117" spans="2:24" s="273" customFormat="1" x14ac:dyDescent="0.25">
      <c r="B117" s="277"/>
      <c r="F117" s="386"/>
      <c r="G117" s="386"/>
      <c r="H117" s="386"/>
      <c r="I117" s="386"/>
      <c r="J117" s="386"/>
      <c r="K117" s="386"/>
      <c r="L117" s="386"/>
      <c r="M117" s="386"/>
      <c r="N117" s="386"/>
      <c r="O117" s="386"/>
      <c r="P117" s="386"/>
      <c r="Q117" s="386"/>
      <c r="R117" s="386"/>
      <c r="S117" s="386"/>
      <c r="T117" s="386"/>
      <c r="U117" s="386"/>
      <c r="V117" s="386"/>
      <c r="W117" s="386"/>
      <c r="X117" s="386"/>
    </row>
    <row r="118" spans="2:24" s="273" customFormat="1" x14ac:dyDescent="0.25">
      <c r="B118" s="277"/>
      <c r="F118" s="386"/>
      <c r="G118" s="386"/>
      <c r="H118" s="386"/>
      <c r="I118" s="386"/>
      <c r="J118" s="386"/>
      <c r="K118" s="386"/>
      <c r="L118" s="386"/>
      <c r="M118" s="386"/>
      <c r="N118" s="386"/>
      <c r="O118" s="386"/>
      <c r="P118" s="386"/>
      <c r="Q118" s="386"/>
      <c r="R118" s="386"/>
      <c r="S118" s="386"/>
      <c r="T118" s="386"/>
      <c r="U118" s="386"/>
      <c r="V118" s="386"/>
      <c r="W118" s="386"/>
      <c r="X118" s="386"/>
    </row>
    <row r="119" spans="2:24" s="273" customFormat="1" x14ac:dyDescent="0.25">
      <c r="B119" s="277"/>
      <c r="F119" s="386"/>
      <c r="G119" s="386"/>
      <c r="H119" s="386"/>
      <c r="I119" s="386"/>
      <c r="J119" s="386"/>
      <c r="K119" s="386"/>
      <c r="L119" s="386"/>
      <c r="M119" s="386"/>
      <c r="N119" s="386"/>
      <c r="O119" s="386"/>
      <c r="P119" s="386"/>
      <c r="Q119" s="386"/>
      <c r="R119" s="386"/>
      <c r="S119" s="386"/>
      <c r="T119" s="386"/>
      <c r="U119" s="386"/>
      <c r="V119" s="386"/>
      <c r="W119" s="386"/>
      <c r="X119" s="386"/>
    </row>
    <row r="120" spans="2:24" s="273" customFormat="1" x14ac:dyDescent="0.25">
      <c r="B120" s="277"/>
      <c r="F120" s="386"/>
      <c r="G120" s="386"/>
      <c r="H120" s="386"/>
      <c r="I120" s="386"/>
      <c r="J120" s="386"/>
      <c r="K120" s="386"/>
      <c r="L120" s="386"/>
      <c r="M120" s="386"/>
      <c r="N120" s="386"/>
      <c r="O120" s="386"/>
      <c r="P120" s="386"/>
      <c r="Q120" s="386"/>
      <c r="R120" s="386"/>
      <c r="S120" s="386"/>
      <c r="T120" s="386"/>
      <c r="U120" s="386"/>
      <c r="V120" s="386"/>
      <c r="W120" s="386"/>
      <c r="X120" s="386"/>
    </row>
    <row r="121" spans="2:24" s="273" customFormat="1" x14ac:dyDescent="0.25">
      <c r="B121" s="277"/>
      <c r="F121" s="386"/>
      <c r="G121" s="386"/>
      <c r="H121" s="386"/>
      <c r="I121" s="386"/>
      <c r="J121" s="386"/>
      <c r="K121" s="386"/>
      <c r="L121" s="386"/>
      <c r="M121" s="386"/>
      <c r="N121" s="386"/>
      <c r="O121" s="386"/>
      <c r="P121" s="386"/>
      <c r="Q121" s="386"/>
      <c r="R121" s="386"/>
      <c r="S121" s="386"/>
      <c r="T121" s="386"/>
      <c r="U121" s="386"/>
      <c r="V121" s="386"/>
      <c r="W121" s="386"/>
      <c r="X121" s="386"/>
    </row>
    <row r="122" spans="2:24" s="273" customFormat="1" x14ac:dyDescent="0.25">
      <c r="B122" s="277"/>
      <c r="F122" s="386"/>
      <c r="G122" s="386"/>
      <c r="H122" s="386"/>
      <c r="I122" s="386"/>
      <c r="J122" s="386"/>
      <c r="K122" s="386"/>
      <c r="L122" s="386"/>
      <c r="M122" s="386"/>
      <c r="N122" s="386"/>
      <c r="O122" s="386"/>
      <c r="P122" s="386"/>
      <c r="Q122" s="386"/>
      <c r="R122" s="386"/>
      <c r="S122" s="386"/>
      <c r="T122" s="386"/>
      <c r="U122" s="386"/>
      <c r="V122" s="386"/>
      <c r="W122" s="386"/>
      <c r="X122" s="386"/>
    </row>
    <row r="123" spans="2:24" s="273" customFormat="1" x14ac:dyDescent="0.25">
      <c r="B123" s="277"/>
      <c r="F123" s="386"/>
      <c r="G123" s="386"/>
      <c r="H123" s="386"/>
      <c r="I123" s="386"/>
      <c r="J123" s="386"/>
      <c r="K123" s="386"/>
      <c r="L123" s="386"/>
      <c r="M123" s="386"/>
      <c r="N123" s="386"/>
      <c r="O123" s="386"/>
      <c r="P123" s="386"/>
      <c r="Q123" s="386"/>
      <c r="R123" s="386"/>
      <c r="S123" s="386"/>
      <c r="T123" s="386"/>
      <c r="U123" s="386"/>
      <c r="V123" s="386"/>
      <c r="W123" s="386"/>
      <c r="X123" s="386"/>
    </row>
    <row r="124" spans="2:24" s="273" customFormat="1" x14ac:dyDescent="0.25">
      <c r="B124" s="277"/>
      <c r="F124" s="386"/>
      <c r="G124" s="386"/>
      <c r="H124" s="386"/>
      <c r="I124" s="386"/>
      <c r="J124" s="386"/>
      <c r="K124" s="386"/>
      <c r="L124" s="386"/>
      <c r="M124" s="386"/>
      <c r="N124" s="386"/>
      <c r="O124" s="386"/>
      <c r="P124" s="386"/>
      <c r="Q124" s="386"/>
      <c r="R124" s="386"/>
      <c r="S124" s="386"/>
      <c r="T124" s="386"/>
      <c r="U124" s="386"/>
      <c r="V124" s="386"/>
      <c r="W124" s="386"/>
      <c r="X124" s="386"/>
    </row>
    <row r="125" spans="2:24" s="273" customFormat="1" x14ac:dyDescent="0.25">
      <c r="B125" s="277"/>
      <c r="F125" s="386"/>
      <c r="G125" s="386"/>
      <c r="H125" s="386"/>
      <c r="I125" s="386"/>
      <c r="J125" s="386"/>
      <c r="K125" s="386"/>
      <c r="L125" s="386"/>
      <c r="M125" s="386"/>
      <c r="N125" s="386"/>
      <c r="O125" s="386"/>
      <c r="P125" s="386"/>
      <c r="Q125" s="386"/>
      <c r="R125" s="386"/>
      <c r="S125" s="386"/>
      <c r="T125" s="386"/>
      <c r="U125" s="386"/>
      <c r="V125" s="386"/>
      <c r="W125" s="386"/>
      <c r="X125" s="386"/>
    </row>
    <row r="126" spans="2:24" s="273" customFormat="1" x14ac:dyDescent="0.25">
      <c r="B126" s="277"/>
      <c r="F126" s="386"/>
      <c r="G126" s="386"/>
      <c r="H126" s="386"/>
      <c r="I126" s="386"/>
      <c r="J126" s="386"/>
      <c r="K126" s="386"/>
      <c r="L126" s="386"/>
      <c r="M126" s="386"/>
      <c r="N126" s="386"/>
      <c r="O126" s="386"/>
      <c r="P126" s="386"/>
      <c r="Q126" s="386"/>
      <c r="R126" s="386"/>
      <c r="S126" s="386"/>
      <c r="T126" s="386"/>
      <c r="U126" s="386"/>
      <c r="V126" s="386"/>
      <c r="W126" s="386"/>
      <c r="X126" s="386"/>
    </row>
    <row r="127" spans="2:24" s="273" customFormat="1" x14ac:dyDescent="0.25">
      <c r="B127" s="277"/>
      <c r="F127" s="386"/>
      <c r="G127" s="386"/>
      <c r="H127" s="386"/>
      <c r="I127" s="386"/>
      <c r="J127" s="386"/>
      <c r="K127" s="386"/>
      <c r="L127" s="386"/>
      <c r="M127" s="386"/>
      <c r="N127" s="386"/>
      <c r="O127" s="386"/>
      <c r="P127" s="386"/>
      <c r="Q127" s="386"/>
      <c r="R127" s="386"/>
      <c r="S127" s="386"/>
      <c r="T127" s="386"/>
      <c r="U127" s="386"/>
      <c r="V127" s="386"/>
      <c r="W127" s="386"/>
      <c r="X127" s="386"/>
    </row>
    <row r="128" spans="2:24" s="273" customFormat="1" x14ac:dyDescent="0.25">
      <c r="B128" s="277"/>
      <c r="F128" s="386"/>
      <c r="G128" s="386"/>
      <c r="H128" s="386"/>
      <c r="I128" s="386"/>
      <c r="J128" s="386"/>
      <c r="K128" s="386"/>
      <c r="L128" s="386"/>
      <c r="M128" s="386"/>
      <c r="N128" s="386"/>
      <c r="O128" s="386"/>
      <c r="P128" s="386"/>
      <c r="Q128" s="386"/>
      <c r="R128" s="386"/>
      <c r="S128" s="386"/>
      <c r="T128" s="386"/>
      <c r="U128" s="386"/>
      <c r="V128" s="386"/>
      <c r="W128" s="386"/>
      <c r="X128" s="386"/>
    </row>
    <row r="129" spans="2:24" s="273" customFormat="1" x14ac:dyDescent="0.25">
      <c r="B129" s="277"/>
      <c r="F129" s="386"/>
      <c r="G129" s="386"/>
      <c r="H129" s="386"/>
      <c r="I129" s="386"/>
      <c r="J129" s="386"/>
      <c r="K129" s="386"/>
      <c r="L129" s="386"/>
      <c r="M129" s="386"/>
      <c r="N129" s="386"/>
      <c r="O129" s="386"/>
      <c r="P129" s="386"/>
      <c r="Q129" s="386"/>
      <c r="R129" s="386"/>
      <c r="S129" s="386"/>
      <c r="T129" s="386"/>
      <c r="U129" s="386"/>
      <c r="V129" s="386"/>
      <c r="W129" s="386"/>
      <c r="X129" s="386"/>
    </row>
    <row r="130" spans="2:24" s="273" customFormat="1" x14ac:dyDescent="0.25">
      <c r="B130" s="277"/>
      <c r="F130" s="386"/>
      <c r="G130" s="386"/>
      <c r="H130" s="386"/>
      <c r="I130" s="386"/>
      <c r="J130" s="386"/>
      <c r="K130" s="386"/>
      <c r="L130" s="386"/>
      <c r="M130" s="386"/>
      <c r="N130" s="386"/>
      <c r="O130" s="386"/>
      <c r="P130" s="386"/>
      <c r="Q130" s="386"/>
      <c r="R130" s="386"/>
      <c r="S130" s="386"/>
      <c r="T130" s="386"/>
      <c r="U130" s="386"/>
      <c r="V130" s="386"/>
      <c r="W130" s="386"/>
      <c r="X130" s="386"/>
    </row>
    <row r="131" spans="2:24" s="273" customFormat="1" x14ac:dyDescent="0.25">
      <c r="B131" s="277"/>
      <c r="F131" s="386"/>
      <c r="G131" s="386"/>
      <c r="H131" s="386"/>
      <c r="I131" s="386"/>
      <c r="J131" s="386"/>
      <c r="K131" s="386"/>
      <c r="L131" s="386"/>
      <c r="M131" s="386"/>
      <c r="N131" s="386"/>
      <c r="O131" s="386"/>
      <c r="P131" s="386"/>
      <c r="Q131" s="386"/>
      <c r="R131" s="386"/>
      <c r="S131" s="386"/>
      <c r="T131" s="386"/>
      <c r="U131" s="386"/>
      <c r="V131" s="386"/>
      <c r="W131" s="386"/>
      <c r="X131" s="386"/>
    </row>
    <row r="132" spans="2:24" s="273" customFormat="1" x14ac:dyDescent="0.25">
      <c r="B132" s="277"/>
      <c r="F132" s="386"/>
      <c r="G132" s="386"/>
      <c r="H132" s="386"/>
      <c r="I132" s="386"/>
      <c r="J132" s="386"/>
      <c r="K132" s="386"/>
      <c r="L132" s="386"/>
      <c r="M132" s="386"/>
      <c r="N132" s="386"/>
      <c r="O132" s="386"/>
      <c r="P132" s="386"/>
      <c r="Q132" s="386"/>
      <c r="R132" s="386"/>
      <c r="S132" s="386"/>
      <c r="T132" s="386"/>
      <c r="U132" s="386"/>
      <c r="V132" s="386"/>
      <c r="W132" s="386"/>
      <c r="X132" s="386"/>
    </row>
    <row r="133" spans="2:24" s="273" customFormat="1" x14ac:dyDescent="0.25">
      <c r="B133" s="277"/>
      <c r="F133" s="386"/>
      <c r="G133" s="386"/>
      <c r="H133" s="386"/>
      <c r="I133" s="386"/>
      <c r="J133" s="386"/>
      <c r="K133" s="386"/>
      <c r="L133" s="386"/>
      <c r="M133" s="386"/>
      <c r="N133" s="386"/>
      <c r="O133" s="386"/>
      <c r="P133" s="386"/>
      <c r="Q133" s="386"/>
      <c r="R133" s="386"/>
      <c r="S133" s="386"/>
      <c r="T133" s="386"/>
      <c r="U133" s="386"/>
      <c r="V133" s="386"/>
      <c r="W133" s="386"/>
      <c r="X133" s="386"/>
    </row>
    <row r="134" spans="2:24" s="273" customFormat="1" x14ac:dyDescent="0.25">
      <c r="B134" s="277"/>
      <c r="F134" s="386"/>
      <c r="G134" s="386"/>
      <c r="H134" s="386"/>
      <c r="I134" s="386"/>
      <c r="J134" s="386"/>
      <c r="K134" s="386"/>
      <c r="L134" s="386"/>
      <c r="M134" s="386"/>
      <c r="N134" s="386"/>
      <c r="O134" s="386"/>
      <c r="P134" s="386"/>
      <c r="Q134" s="386"/>
      <c r="R134" s="386"/>
      <c r="S134" s="386"/>
      <c r="T134" s="386"/>
      <c r="U134" s="386"/>
      <c r="V134" s="386"/>
      <c r="W134" s="386"/>
      <c r="X134" s="386"/>
    </row>
    <row r="135" spans="2:24" s="273" customFormat="1" x14ac:dyDescent="0.25">
      <c r="B135" s="277"/>
      <c r="F135" s="386"/>
      <c r="G135" s="386"/>
      <c r="H135" s="386"/>
      <c r="I135" s="386"/>
      <c r="J135" s="386"/>
      <c r="K135" s="386"/>
      <c r="L135" s="386"/>
      <c r="M135" s="386"/>
      <c r="N135" s="386"/>
      <c r="O135" s="386"/>
      <c r="P135" s="386"/>
      <c r="Q135" s="386"/>
      <c r="R135" s="386"/>
      <c r="S135" s="386"/>
      <c r="T135" s="386"/>
      <c r="U135" s="386"/>
      <c r="V135" s="386"/>
      <c r="W135" s="386"/>
      <c r="X135" s="386"/>
    </row>
    <row r="136" spans="2:24" s="273" customFormat="1" x14ac:dyDescent="0.25">
      <c r="B136" s="277"/>
      <c r="F136" s="386"/>
      <c r="G136" s="386"/>
      <c r="H136" s="386"/>
      <c r="I136" s="386"/>
      <c r="J136" s="386"/>
      <c r="K136" s="386"/>
      <c r="L136" s="386"/>
      <c r="M136" s="386"/>
      <c r="N136" s="386"/>
      <c r="O136" s="386"/>
      <c r="P136" s="386"/>
      <c r="Q136" s="386"/>
      <c r="R136" s="386"/>
      <c r="S136" s="386"/>
      <c r="T136" s="386"/>
      <c r="U136" s="386"/>
      <c r="V136" s="386"/>
      <c r="W136" s="386"/>
      <c r="X136" s="386"/>
    </row>
    <row r="137" spans="2:24" s="273" customFormat="1" x14ac:dyDescent="0.25">
      <c r="B137" s="277"/>
      <c r="F137" s="386"/>
      <c r="G137" s="386"/>
      <c r="H137" s="386"/>
      <c r="I137" s="386"/>
      <c r="J137" s="386"/>
      <c r="K137" s="386"/>
      <c r="L137" s="386"/>
      <c r="M137" s="386"/>
      <c r="N137" s="386"/>
      <c r="O137" s="386"/>
      <c r="P137" s="386"/>
      <c r="Q137" s="386"/>
      <c r="R137" s="386"/>
      <c r="S137" s="386"/>
      <c r="T137" s="386"/>
      <c r="U137" s="386"/>
      <c r="V137" s="386"/>
      <c r="W137" s="386"/>
      <c r="X137" s="386"/>
    </row>
    <row r="138" spans="2:24" s="273" customFormat="1" x14ac:dyDescent="0.25">
      <c r="B138" s="277"/>
      <c r="F138" s="386"/>
      <c r="G138" s="386"/>
      <c r="H138" s="386"/>
      <c r="I138" s="386"/>
      <c r="J138" s="386"/>
      <c r="K138" s="386"/>
      <c r="L138" s="386"/>
      <c r="M138" s="386"/>
      <c r="N138" s="386"/>
      <c r="O138" s="386"/>
      <c r="P138" s="386"/>
      <c r="Q138" s="386"/>
      <c r="R138" s="386"/>
      <c r="S138" s="386"/>
      <c r="T138" s="386"/>
      <c r="U138" s="386"/>
      <c r="V138" s="386"/>
      <c r="W138" s="386"/>
      <c r="X138" s="386"/>
    </row>
    <row r="139" spans="2:24" s="273" customFormat="1" x14ac:dyDescent="0.25">
      <c r="B139" s="277"/>
      <c r="F139" s="386"/>
      <c r="G139" s="386"/>
      <c r="H139" s="386"/>
      <c r="I139" s="386"/>
      <c r="J139" s="386"/>
      <c r="K139" s="386"/>
      <c r="L139" s="386"/>
      <c r="M139" s="386"/>
      <c r="N139" s="386"/>
      <c r="O139" s="386"/>
      <c r="P139" s="386"/>
      <c r="Q139" s="386"/>
      <c r="R139" s="386"/>
      <c r="S139" s="386"/>
      <c r="T139" s="386"/>
      <c r="U139" s="386"/>
      <c r="V139" s="386"/>
      <c r="W139" s="386"/>
      <c r="X139" s="386"/>
    </row>
    <row r="140" spans="2:24" s="273" customFormat="1" x14ac:dyDescent="0.25">
      <c r="B140" s="277"/>
      <c r="F140" s="386"/>
      <c r="G140" s="386"/>
      <c r="H140" s="386"/>
      <c r="I140" s="386"/>
      <c r="J140" s="386"/>
      <c r="K140" s="386"/>
      <c r="L140" s="386"/>
      <c r="M140" s="386"/>
      <c r="N140" s="386"/>
      <c r="O140" s="386"/>
      <c r="P140" s="386"/>
      <c r="Q140" s="386"/>
      <c r="R140" s="386"/>
      <c r="S140" s="386"/>
      <c r="T140" s="386"/>
      <c r="U140" s="386"/>
      <c r="V140" s="386"/>
      <c r="W140" s="386"/>
      <c r="X140" s="386"/>
    </row>
    <row r="141" spans="2:24" s="273" customFormat="1" x14ac:dyDescent="0.25">
      <c r="B141" s="277"/>
      <c r="F141" s="386"/>
      <c r="G141" s="386"/>
      <c r="H141" s="386"/>
      <c r="I141" s="386"/>
      <c r="J141" s="386"/>
      <c r="K141" s="386"/>
      <c r="L141" s="386"/>
      <c r="M141" s="386"/>
      <c r="N141" s="386"/>
      <c r="O141" s="386"/>
      <c r="P141" s="386"/>
      <c r="Q141" s="386"/>
      <c r="R141" s="386"/>
      <c r="S141" s="386"/>
      <c r="T141" s="386"/>
      <c r="U141" s="386"/>
      <c r="V141" s="386"/>
      <c r="W141" s="386"/>
      <c r="X141" s="386"/>
    </row>
    <row r="142" spans="2:24" s="273" customFormat="1" x14ac:dyDescent="0.25">
      <c r="B142" s="277"/>
      <c r="F142" s="386"/>
      <c r="G142" s="386"/>
      <c r="H142" s="386"/>
      <c r="I142" s="386"/>
      <c r="J142" s="386"/>
      <c r="K142" s="386"/>
      <c r="L142" s="386"/>
      <c r="M142" s="386"/>
      <c r="N142" s="386"/>
      <c r="O142" s="386"/>
      <c r="P142" s="386"/>
      <c r="Q142" s="386"/>
      <c r="R142" s="386"/>
      <c r="S142" s="386"/>
      <c r="T142" s="386"/>
      <c r="U142" s="386"/>
      <c r="V142" s="386"/>
      <c r="W142" s="386"/>
      <c r="X142" s="386"/>
    </row>
    <row r="143" spans="2:24" s="273" customFormat="1" x14ac:dyDescent="0.25">
      <c r="B143" s="277"/>
      <c r="F143" s="386"/>
      <c r="G143" s="386"/>
      <c r="H143" s="386"/>
      <c r="I143" s="386"/>
      <c r="J143" s="386"/>
      <c r="K143" s="386"/>
      <c r="L143" s="386"/>
      <c r="M143" s="386"/>
      <c r="N143" s="386"/>
      <c r="O143" s="386"/>
      <c r="P143" s="386"/>
      <c r="Q143" s="386"/>
      <c r="R143" s="386"/>
      <c r="S143" s="386"/>
      <c r="T143" s="386"/>
      <c r="U143" s="386"/>
      <c r="V143" s="386"/>
      <c r="W143" s="386"/>
      <c r="X143" s="386"/>
    </row>
    <row r="144" spans="2:24" s="273" customFormat="1" x14ac:dyDescent="0.25">
      <c r="B144" s="277"/>
      <c r="F144" s="386"/>
      <c r="G144" s="386"/>
      <c r="H144" s="386"/>
      <c r="I144" s="386"/>
      <c r="J144" s="386"/>
      <c r="K144" s="386"/>
      <c r="L144" s="386"/>
      <c r="M144" s="386"/>
      <c r="N144" s="386"/>
      <c r="O144" s="386"/>
      <c r="P144" s="386"/>
      <c r="Q144" s="386"/>
      <c r="R144" s="386"/>
      <c r="S144" s="386"/>
      <c r="T144" s="386"/>
      <c r="U144" s="386"/>
      <c r="V144" s="386"/>
      <c r="W144" s="386"/>
      <c r="X144" s="386"/>
    </row>
    <row r="145" spans="2:24" s="273" customFormat="1" x14ac:dyDescent="0.25">
      <c r="B145" s="277"/>
      <c r="F145" s="386"/>
      <c r="G145" s="386"/>
      <c r="H145" s="386"/>
      <c r="I145" s="386"/>
      <c r="J145" s="386"/>
      <c r="K145" s="386"/>
      <c r="L145" s="386"/>
      <c r="M145" s="386"/>
      <c r="N145" s="386"/>
      <c r="O145" s="386"/>
      <c r="P145" s="386"/>
      <c r="Q145" s="386"/>
      <c r="R145" s="386"/>
      <c r="S145" s="386"/>
      <c r="T145" s="386"/>
      <c r="U145" s="386"/>
      <c r="V145" s="386"/>
      <c r="W145" s="386"/>
      <c r="X145" s="386"/>
    </row>
    <row r="146" spans="2:24" s="273" customFormat="1" x14ac:dyDescent="0.25">
      <c r="B146" s="277"/>
      <c r="F146" s="386"/>
      <c r="G146" s="386"/>
      <c r="H146" s="386"/>
      <c r="I146" s="386"/>
      <c r="J146" s="386"/>
      <c r="K146" s="386"/>
      <c r="L146" s="386"/>
      <c r="M146" s="386"/>
      <c r="N146" s="386"/>
      <c r="O146" s="386"/>
      <c r="P146" s="386"/>
      <c r="Q146" s="386"/>
      <c r="R146" s="386"/>
      <c r="S146" s="386"/>
      <c r="T146" s="386"/>
      <c r="U146" s="386"/>
      <c r="V146" s="386"/>
      <c r="W146" s="386"/>
      <c r="X146" s="386"/>
    </row>
    <row r="147" spans="2:24" s="273" customFormat="1" x14ac:dyDescent="0.25">
      <c r="B147" s="277"/>
      <c r="F147" s="386"/>
      <c r="G147" s="386"/>
      <c r="H147" s="386"/>
      <c r="I147" s="386"/>
      <c r="J147" s="386"/>
      <c r="K147" s="386"/>
      <c r="L147" s="386"/>
      <c r="M147" s="386"/>
      <c r="N147" s="386"/>
      <c r="O147" s="386"/>
      <c r="P147" s="386"/>
      <c r="Q147" s="386"/>
      <c r="R147" s="386"/>
      <c r="S147" s="386"/>
      <c r="T147" s="386"/>
      <c r="U147" s="386"/>
      <c r="V147" s="386"/>
      <c r="W147" s="386"/>
      <c r="X147" s="386"/>
    </row>
    <row r="148" spans="2:24" s="273" customFormat="1" x14ac:dyDescent="0.25">
      <c r="B148" s="277"/>
      <c r="F148" s="386"/>
      <c r="G148" s="386"/>
      <c r="H148" s="386"/>
      <c r="I148" s="386"/>
      <c r="J148" s="386"/>
      <c r="K148" s="386"/>
      <c r="L148" s="386"/>
      <c r="M148" s="386"/>
      <c r="N148" s="386"/>
      <c r="O148" s="386"/>
      <c r="P148" s="386"/>
      <c r="Q148" s="386"/>
      <c r="R148" s="386"/>
      <c r="S148" s="386"/>
      <c r="T148" s="386"/>
      <c r="U148" s="386"/>
      <c r="V148" s="386"/>
      <c r="W148" s="386"/>
      <c r="X148" s="386"/>
    </row>
    <row r="149" spans="2:24" s="273" customFormat="1" x14ac:dyDescent="0.25">
      <c r="B149" s="277"/>
      <c r="F149" s="386"/>
      <c r="G149" s="386"/>
      <c r="H149" s="386"/>
      <c r="I149" s="386"/>
      <c r="J149" s="386"/>
      <c r="K149" s="386"/>
      <c r="L149" s="386"/>
      <c r="M149" s="386"/>
      <c r="N149" s="386"/>
      <c r="O149" s="386"/>
      <c r="P149" s="386"/>
      <c r="Q149" s="386"/>
      <c r="R149" s="386"/>
      <c r="S149" s="386"/>
      <c r="T149" s="386"/>
      <c r="U149" s="386"/>
      <c r="V149" s="386"/>
      <c r="W149" s="386"/>
      <c r="X149" s="386"/>
    </row>
    <row r="150" spans="2:24" s="273" customFormat="1" x14ac:dyDescent="0.25">
      <c r="B150" s="277"/>
      <c r="F150" s="386"/>
      <c r="G150" s="386"/>
      <c r="H150" s="386"/>
      <c r="I150" s="386"/>
      <c r="J150" s="386"/>
      <c r="K150" s="386"/>
      <c r="L150" s="386"/>
      <c r="M150" s="386"/>
      <c r="N150" s="386"/>
      <c r="O150" s="386"/>
      <c r="P150" s="386"/>
      <c r="Q150" s="386"/>
      <c r="R150" s="386"/>
      <c r="S150" s="386"/>
      <c r="T150" s="386"/>
      <c r="U150" s="386"/>
      <c r="V150" s="386"/>
      <c r="W150" s="386"/>
      <c r="X150" s="386"/>
    </row>
    <row r="151" spans="2:24" s="273" customFormat="1" x14ac:dyDescent="0.25">
      <c r="B151" s="277"/>
      <c r="F151" s="386"/>
      <c r="G151" s="386"/>
      <c r="H151" s="386"/>
      <c r="I151" s="386"/>
      <c r="J151" s="386"/>
      <c r="K151" s="386"/>
      <c r="L151" s="386"/>
      <c r="M151" s="386"/>
      <c r="N151" s="386"/>
      <c r="O151" s="386"/>
      <c r="P151" s="386"/>
      <c r="Q151" s="386"/>
      <c r="R151" s="386"/>
      <c r="S151" s="386"/>
      <c r="T151" s="386"/>
      <c r="U151" s="386"/>
      <c r="V151" s="386"/>
      <c r="W151" s="386"/>
      <c r="X151" s="386"/>
    </row>
    <row r="152" spans="2:24" s="273" customFormat="1" x14ac:dyDescent="0.25">
      <c r="B152" s="277"/>
      <c r="F152" s="386"/>
      <c r="G152" s="386"/>
      <c r="H152" s="386"/>
      <c r="I152" s="386"/>
      <c r="J152" s="386"/>
      <c r="K152" s="386"/>
      <c r="L152" s="386"/>
      <c r="M152" s="386"/>
      <c r="N152" s="386"/>
      <c r="O152" s="386"/>
      <c r="P152" s="386"/>
      <c r="Q152" s="386"/>
      <c r="R152" s="386"/>
      <c r="S152" s="386"/>
      <c r="T152" s="386"/>
      <c r="U152" s="386"/>
      <c r="V152" s="386"/>
      <c r="W152" s="386"/>
      <c r="X152" s="386"/>
    </row>
    <row r="153" spans="2:24" s="273" customFormat="1" x14ac:dyDescent="0.25">
      <c r="B153" s="277"/>
      <c r="F153" s="386"/>
      <c r="G153" s="386"/>
      <c r="H153" s="386"/>
      <c r="I153" s="386"/>
      <c r="J153" s="386"/>
      <c r="K153" s="386"/>
      <c r="L153" s="386"/>
      <c r="M153" s="386"/>
      <c r="N153" s="386"/>
      <c r="O153" s="386"/>
      <c r="P153" s="386"/>
      <c r="Q153" s="386"/>
      <c r="R153" s="386"/>
      <c r="S153" s="386"/>
      <c r="T153" s="386"/>
      <c r="U153" s="386"/>
      <c r="V153" s="386"/>
      <c r="W153" s="386"/>
      <c r="X153" s="386"/>
    </row>
    <row r="154" spans="2:24" s="273" customFormat="1" x14ac:dyDescent="0.25">
      <c r="B154" s="277"/>
      <c r="F154" s="386"/>
      <c r="G154" s="386"/>
      <c r="H154" s="386"/>
      <c r="I154" s="386"/>
      <c r="J154" s="386"/>
      <c r="K154" s="386"/>
      <c r="L154" s="386"/>
      <c r="M154" s="386"/>
      <c r="N154" s="386"/>
      <c r="O154" s="386"/>
      <c r="P154" s="386"/>
      <c r="Q154" s="386"/>
      <c r="R154" s="386"/>
      <c r="S154" s="386"/>
      <c r="T154" s="386"/>
      <c r="U154" s="386"/>
      <c r="V154" s="386"/>
      <c r="W154" s="386"/>
      <c r="X154" s="386"/>
    </row>
    <row r="155" spans="2:24" s="273" customFormat="1" x14ac:dyDescent="0.25">
      <c r="B155" s="277"/>
      <c r="F155" s="386"/>
      <c r="G155" s="386"/>
      <c r="H155" s="386"/>
      <c r="I155" s="386"/>
      <c r="J155" s="386"/>
      <c r="K155" s="386"/>
      <c r="L155" s="386"/>
      <c r="M155" s="386"/>
      <c r="N155" s="386"/>
      <c r="O155" s="386"/>
      <c r="P155" s="386"/>
      <c r="Q155" s="386"/>
      <c r="R155" s="386"/>
      <c r="S155" s="386"/>
      <c r="T155" s="386"/>
      <c r="U155" s="386"/>
      <c r="V155" s="386"/>
      <c r="W155" s="386"/>
      <c r="X155" s="386"/>
    </row>
    <row r="156" spans="2:24" s="273" customFormat="1" x14ac:dyDescent="0.25">
      <c r="B156" s="277"/>
      <c r="F156" s="386"/>
      <c r="G156" s="386"/>
      <c r="H156" s="386"/>
      <c r="I156" s="386"/>
      <c r="J156" s="386"/>
      <c r="K156" s="386"/>
      <c r="L156" s="386"/>
      <c r="M156" s="386"/>
      <c r="N156" s="386"/>
      <c r="O156" s="386"/>
      <c r="P156" s="386"/>
      <c r="Q156" s="386"/>
      <c r="R156" s="386"/>
      <c r="S156" s="386"/>
      <c r="T156" s="386"/>
      <c r="U156" s="386"/>
      <c r="V156" s="386"/>
      <c r="W156" s="386"/>
      <c r="X156" s="386"/>
    </row>
    <row r="157" spans="2:24" s="273" customFormat="1" x14ac:dyDescent="0.25">
      <c r="B157" s="277"/>
      <c r="F157" s="386"/>
      <c r="G157" s="386"/>
      <c r="H157" s="386"/>
      <c r="I157" s="386"/>
      <c r="J157" s="386"/>
      <c r="K157" s="386"/>
      <c r="L157" s="386"/>
      <c r="M157" s="386"/>
      <c r="N157" s="386"/>
      <c r="O157" s="386"/>
      <c r="P157" s="386"/>
      <c r="Q157" s="386"/>
      <c r="R157" s="386"/>
      <c r="S157" s="386"/>
      <c r="T157" s="386"/>
      <c r="U157" s="386"/>
      <c r="V157" s="386"/>
      <c r="W157" s="386"/>
      <c r="X157" s="386"/>
    </row>
    <row r="158" spans="2:24" s="273" customFormat="1" x14ac:dyDescent="0.25">
      <c r="B158" s="277"/>
      <c r="F158" s="386"/>
      <c r="G158" s="386"/>
      <c r="H158" s="386"/>
      <c r="I158" s="386"/>
      <c r="J158" s="386"/>
      <c r="K158" s="386"/>
      <c r="L158" s="386"/>
      <c r="M158" s="386"/>
      <c r="N158" s="386"/>
      <c r="O158" s="386"/>
      <c r="P158" s="386"/>
      <c r="Q158" s="386"/>
      <c r="R158" s="386"/>
      <c r="S158" s="386"/>
      <c r="T158" s="386"/>
      <c r="U158" s="386"/>
      <c r="V158" s="386"/>
      <c r="W158" s="386"/>
      <c r="X158" s="386"/>
    </row>
    <row r="159" spans="2:24" s="273" customFormat="1" x14ac:dyDescent="0.25">
      <c r="B159" s="277"/>
      <c r="F159" s="386"/>
      <c r="G159" s="386"/>
      <c r="H159" s="386"/>
      <c r="I159" s="386"/>
      <c r="J159" s="386"/>
      <c r="K159" s="386"/>
      <c r="L159" s="386"/>
      <c r="M159" s="386"/>
      <c r="N159" s="386"/>
      <c r="O159" s="386"/>
      <c r="P159" s="386"/>
      <c r="Q159" s="386"/>
      <c r="R159" s="386"/>
      <c r="S159" s="386"/>
      <c r="T159" s="386"/>
      <c r="U159" s="386"/>
      <c r="V159" s="386"/>
      <c r="W159" s="386"/>
      <c r="X159" s="386"/>
    </row>
    <row r="160" spans="2:24" s="273" customFormat="1" x14ac:dyDescent="0.25">
      <c r="B160" s="277"/>
      <c r="F160" s="386"/>
      <c r="G160" s="386"/>
      <c r="H160" s="386"/>
      <c r="I160" s="386"/>
      <c r="J160" s="386"/>
      <c r="K160" s="386"/>
      <c r="L160" s="386"/>
      <c r="M160" s="386"/>
      <c r="N160" s="386"/>
      <c r="O160" s="386"/>
      <c r="P160" s="386"/>
      <c r="Q160" s="386"/>
      <c r="R160" s="386"/>
      <c r="S160" s="386"/>
      <c r="T160" s="386"/>
      <c r="U160" s="386"/>
      <c r="V160" s="386"/>
      <c r="W160" s="386"/>
      <c r="X160" s="386"/>
    </row>
    <row r="161" spans="2:24" s="273" customFormat="1" x14ac:dyDescent="0.25">
      <c r="B161" s="277"/>
      <c r="F161" s="386"/>
      <c r="G161" s="386"/>
      <c r="H161" s="386"/>
      <c r="I161" s="386"/>
      <c r="J161" s="386"/>
      <c r="K161" s="386"/>
      <c r="L161" s="386"/>
      <c r="M161" s="386"/>
      <c r="N161" s="386"/>
      <c r="O161" s="386"/>
      <c r="P161" s="386"/>
      <c r="Q161" s="386"/>
      <c r="R161" s="386"/>
      <c r="S161" s="386"/>
      <c r="T161" s="386"/>
      <c r="U161" s="386"/>
      <c r="V161" s="386"/>
      <c r="W161" s="386"/>
      <c r="X161" s="386"/>
    </row>
    <row r="162" spans="2:24" s="273" customFormat="1" x14ac:dyDescent="0.25">
      <c r="B162" s="277"/>
      <c r="F162" s="386"/>
      <c r="G162" s="386"/>
      <c r="H162" s="386"/>
      <c r="I162" s="386"/>
      <c r="J162" s="386"/>
      <c r="K162" s="386"/>
      <c r="L162" s="386"/>
      <c r="M162" s="386"/>
      <c r="N162" s="386"/>
      <c r="O162" s="386"/>
      <c r="P162" s="386"/>
      <c r="Q162" s="386"/>
      <c r="R162" s="386"/>
      <c r="S162" s="386"/>
      <c r="T162" s="386"/>
      <c r="U162" s="386"/>
      <c r="V162" s="386"/>
      <c r="W162" s="386"/>
      <c r="X162" s="386"/>
    </row>
    <row r="163" spans="2:24" s="273" customFormat="1" x14ac:dyDescent="0.25">
      <c r="B163" s="277"/>
      <c r="F163" s="386"/>
      <c r="G163" s="386"/>
      <c r="H163" s="386"/>
      <c r="I163" s="386"/>
      <c r="J163" s="386"/>
      <c r="K163" s="386"/>
      <c r="L163" s="386"/>
      <c r="M163" s="386"/>
      <c r="N163" s="386"/>
      <c r="O163" s="386"/>
      <c r="P163" s="386"/>
      <c r="Q163" s="386"/>
      <c r="R163" s="386"/>
      <c r="S163" s="386"/>
      <c r="T163" s="386"/>
      <c r="U163" s="386"/>
      <c r="V163" s="386"/>
      <c r="W163" s="386"/>
      <c r="X163" s="386"/>
    </row>
    <row r="164" spans="2:24" s="273" customFormat="1" x14ac:dyDescent="0.25">
      <c r="B164" s="277"/>
      <c r="F164" s="386"/>
      <c r="G164" s="386"/>
      <c r="H164" s="386"/>
      <c r="I164" s="386"/>
      <c r="J164" s="386"/>
      <c r="K164" s="386"/>
      <c r="L164" s="386"/>
      <c r="M164" s="386"/>
      <c r="N164" s="386"/>
      <c r="O164" s="386"/>
      <c r="P164" s="386"/>
      <c r="Q164" s="386"/>
      <c r="R164" s="386"/>
      <c r="S164" s="386"/>
      <c r="T164" s="386"/>
      <c r="U164" s="386"/>
      <c r="V164" s="386"/>
      <c r="W164" s="386"/>
      <c r="X164" s="386"/>
    </row>
    <row r="165" spans="2:24" s="273" customFormat="1" x14ac:dyDescent="0.25">
      <c r="B165" s="277"/>
      <c r="F165" s="386"/>
      <c r="G165" s="386"/>
      <c r="H165" s="386"/>
      <c r="I165" s="386"/>
      <c r="J165" s="386"/>
      <c r="K165" s="386"/>
      <c r="L165" s="386"/>
      <c r="M165" s="386"/>
      <c r="N165" s="386"/>
      <c r="O165" s="386"/>
      <c r="P165" s="386"/>
      <c r="Q165" s="386"/>
      <c r="R165" s="386"/>
      <c r="S165" s="386"/>
      <c r="T165" s="386"/>
      <c r="U165" s="386"/>
      <c r="V165" s="386"/>
      <c r="W165" s="386"/>
      <c r="X165" s="386"/>
    </row>
    <row r="166" spans="2:24" s="273" customFormat="1" x14ac:dyDescent="0.25">
      <c r="B166" s="277"/>
      <c r="F166" s="386"/>
      <c r="G166" s="386"/>
      <c r="H166" s="386"/>
      <c r="I166" s="386"/>
      <c r="J166" s="386"/>
      <c r="K166" s="386"/>
      <c r="L166" s="386"/>
      <c r="M166" s="386"/>
      <c r="N166" s="386"/>
      <c r="O166" s="386"/>
      <c r="P166" s="386"/>
      <c r="Q166" s="386"/>
      <c r="R166" s="386"/>
      <c r="S166" s="386"/>
      <c r="T166" s="386"/>
      <c r="U166" s="386"/>
      <c r="V166" s="386"/>
      <c r="W166" s="386"/>
      <c r="X166" s="386"/>
    </row>
    <row r="167" spans="2:24" s="273" customFormat="1" x14ac:dyDescent="0.25">
      <c r="B167" s="277"/>
      <c r="F167" s="386"/>
      <c r="G167" s="386"/>
      <c r="H167" s="386"/>
      <c r="I167" s="386"/>
      <c r="J167" s="386"/>
      <c r="K167" s="386"/>
      <c r="L167" s="386"/>
      <c r="M167" s="386"/>
      <c r="N167" s="386"/>
      <c r="O167" s="386"/>
      <c r="P167" s="386"/>
      <c r="Q167" s="386"/>
      <c r="R167" s="386"/>
      <c r="S167" s="386"/>
      <c r="T167" s="386"/>
      <c r="U167" s="386"/>
      <c r="V167" s="386"/>
      <c r="W167" s="386"/>
      <c r="X167" s="386"/>
    </row>
    <row r="168" spans="2:24" s="273" customFormat="1" x14ac:dyDescent="0.25">
      <c r="B168" s="277"/>
      <c r="F168" s="386"/>
      <c r="G168" s="386"/>
      <c r="H168" s="386"/>
      <c r="I168" s="386"/>
      <c r="J168" s="386"/>
      <c r="K168" s="386"/>
      <c r="L168" s="386"/>
      <c r="M168" s="386"/>
      <c r="N168" s="386"/>
      <c r="O168" s="386"/>
      <c r="P168" s="386"/>
      <c r="Q168" s="386"/>
      <c r="R168" s="386"/>
      <c r="S168" s="386"/>
      <c r="T168" s="386"/>
      <c r="U168" s="386"/>
      <c r="V168" s="386"/>
      <c r="W168" s="386"/>
      <c r="X168" s="386"/>
    </row>
    <row r="169" spans="2:24" s="273" customFormat="1" x14ac:dyDescent="0.25">
      <c r="B169" s="277"/>
      <c r="F169" s="386"/>
      <c r="G169" s="386"/>
      <c r="H169" s="386"/>
      <c r="I169" s="386"/>
      <c r="J169" s="386"/>
      <c r="K169" s="386"/>
      <c r="L169" s="386"/>
      <c r="M169" s="386"/>
      <c r="N169" s="386"/>
      <c r="O169" s="386"/>
      <c r="P169" s="386"/>
      <c r="Q169" s="386"/>
      <c r="R169" s="386"/>
      <c r="S169" s="386"/>
      <c r="T169" s="386"/>
      <c r="U169" s="386"/>
      <c r="V169" s="386"/>
      <c r="W169" s="386"/>
      <c r="X169" s="386"/>
    </row>
    <row r="170" spans="2:24" s="273" customFormat="1" x14ac:dyDescent="0.25">
      <c r="B170" s="277"/>
      <c r="F170" s="386"/>
      <c r="G170" s="386"/>
      <c r="H170" s="386"/>
      <c r="I170" s="386"/>
      <c r="J170" s="386"/>
      <c r="K170" s="386"/>
      <c r="L170" s="386"/>
      <c r="M170" s="386"/>
      <c r="N170" s="386"/>
      <c r="O170" s="386"/>
      <c r="P170" s="386"/>
      <c r="Q170" s="386"/>
      <c r="R170" s="386"/>
      <c r="S170" s="386"/>
      <c r="T170" s="386"/>
      <c r="U170" s="386"/>
      <c r="V170" s="386"/>
      <c r="W170" s="386"/>
      <c r="X170" s="386"/>
    </row>
    <row r="171" spans="2:24" s="273" customFormat="1" x14ac:dyDescent="0.25">
      <c r="B171" s="277"/>
      <c r="F171" s="386"/>
      <c r="G171" s="386"/>
      <c r="H171" s="386"/>
      <c r="I171" s="386"/>
      <c r="J171" s="386"/>
      <c r="K171" s="386"/>
      <c r="L171" s="386"/>
      <c r="M171" s="386"/>
      <c r="N171" s="386"/>
      <c r="O171" s="386"/>
      <c r="P171" s="386"/>
      <c r="Q171" s="386"/>
      <c r="R171" s="386"/>
      <c r="S171" s="386"/>
      <c r="T171" s="386"/>
      <c r="U171" s="386"/>
      <c r="V171" s="386"/>
      <c r="W171" s="386"/>
      <c r="X171" s="386"/>
    </row>
    <row r="172" spans="2:24" s="273" customFormat="1" x14ac:dyDescent="0.25">
      <c r="B172" s="277"/>
      <c r="F172" s="386"/>
      <c r="G172" s="386"/>
      <c r="H172" s="386"/>
      <c r="I172" s="386"/>
      <c r="J172" s="386"/>
      <c r="K172" s="386"/>
      <c r="L172" s="386"/>
      <c r="M172" s="386"/>
      <c r="N172" s="386"/>
      <c r="O172" s="386"/>
      <c r="P172" s="386"/>
      <c r="Q172" s="386"/>
      <c r="R172" s="386"/>
      <c r="S172" s="386"/>
      <c r="T172" s="386"/>
      <c r="U172" s="386"/>
      <c r="V172" s="386"/>
      <c r="W172" s="386"/>
      <c r="X172" s="386"/>
    </row>
    <row r="173" spans="2:24" s="273" customFormat="1" x14ac:dyDescent="0.25">
      <c r="B173" s="277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</row>
    <row r="174" spans="2:24" s="273" customFormat="1" x14ac:dyDescent="0.25">
      <c r="B174" s="277"/>
      <c r="F174" s="386"/>
      <c r="G174" s="386"/>
      <c r="H174" s="386"/>
      <c r="I174" s="386"/>
      <c r="J174" s="386"/>
      <c r="K174" s="386"/>
      <c r="L174" s="386"/>
      <c r="M174" s="386"/>
      <c r="N174" s="386"/>
      <c r="O174" s="386"/>
      <c r="P174" s="386"/>
      <c r="Q174" s="386"/>
      <c r="R174" s="386"/>
      <c r="S174" s="386"/>
      <c r="T174" s="386"/>
      <c r="U174" s="386"/>
      <c r="V174" s="386"/>
      <c r="W174" s="386"/>
      <c r="X174" s="386"/>
    </row>
    <row r="175" spans="2:24" s="273" customFormat="1" x14ac:dyDescent="0.25">
      <c r="B175" s="277"/>
      <c r="F175" s="386"/>
      <c r="G175" s="386"/>
      <c r="H175" s="386"/>
      <c r="I175" s="386"/>
      <c r="J175" s="386"/>
      <c r="K175" s="386"/>
      <c r="L175" s="386"/>
      <c r="M175" s="386"/>
      <c r="N175" s="386"/>
      <c r="O175" s="386"/>
      <c r="P175" s="386"/>
      <c r="Q175" s="386"/>
      <c r="R175" s="386"/>
      <c r="S175" s="386"/>
      <c r="T175" s="386"/>
      <c r="U175" s="386"/>
      <c r="V175" s="386"/>
      <c r="W175" s="386"/>
      <c r="X175" s="386"/>
    </row>
    <row r="176" spans="2:24" s="273" customFormat="1" x14ac:dyDescent="0.25">
      <c r="B176" s="277"/>
      <c r="F176" s="386"/>
      <c r="G176" s="386"/>
      <c r="H176" s="386"/>
      <c r="I176" s="386"/>
      <c r="J176" s="386"/>
      <c r="K176" s="386"/>
      <c r="L176" s="386"/>
      <c r="M176" s="386"/>
      <c r="N176" s="386"/>
      <c r="O176" s="386"/>
      <c r="P176" s="386"/>
      <c r="Q176" s="386"/>
      <c r="R176" s="386"/>
      <c r="S176" s="386"/>
      <c r="T176" s="386"/>
      <c r="U176" s="386"/>
      <c r="V176" s="386"/>
      <c r="W176" s="386"/>
      <c r="X176" s="386"/>
    </row>
    <row r="177" spans="2:24" s="273" customFormat="1" x14ac:dyDescent="0.25">
      <c r="B177" s="277"/>
      <c r="F177" s="386"/>
      <c r="G177" s="386"/>
      <c r="H177" s="386"/>
      <c r="I177" s="386"/>
      <c r="J177" s="386"/>
      <c r="K177" s="386"/>
      <c r="L177" s="386"/>
      <c r="M177" s="386"/>
      <c r="N177" s="386"/>
      <c r="O177" s="386"/>
      <c r="P177" s="386"/>
      <c r="Q177" s="386"/>
      <c r="R177" s="386"/>
      <c r="S177" s="386"/>
      <c r="T177" s="386"/>
      <c r="U177" s="386"/>
      <c r="V177" s="386"/>
      <c r="W177" s="386"/>
      <c r="X177" s="386"/>
    </row>
    <row r="178" spans="2:24" s="273" customFormat="1" x14ac:dyDescent="0.25">
      <c r="B178" s="277"/>
      <c r="F178" s="386"/>
      <c r="G178" s="386"/>
      <c r="H178" s="386"/>
      <c r="I178" s="386"/>
      <c r="J178" s="386"/>
      <c r="K178" s="386"/>
      <c r="L178" s="386"/>
      <c r="M178" s="386"/>
      <c r="N178" s="386"/>
      <c r="O178" s="386"/>
      <c r="P178" s="386"/>
      <c r="Q178" s="386"/>
      <c r="R178" s="386"/>
      <c r="S178" s="386"/>
      <c r="T178" s="386"/>
      <c r="U178" s="386"/>
      <c r="V178" s="386"/>
      <c r="W178" s="386"/>
      <c r="X178" s="386"/>
    </row>
    <row r="179" spans="2:24" s="273" customFormat="1" x14ac:dyDescent="0.25">
      <c r="B179" s="277"/>
      <c r="F179" s="386"/>
      <c r="G179" s="386"/>
      <c r="H179" s="386"/>
      <c r="I179" s="386"/>
      <c r="J179" s="386"/>
      <c r="K179" s="386"/>
      <c r="L179" s="386"/>
      <c r="M179" s="386"/>
      <c r="N179" s="386"/>
      <c r="O179" s="386"/>
      <c r="P179" s="386"/>
      <c r="Q179" s="386"/>
      <c r="R179" s="386"/>
      <c r="S179" s="386"/>
      <c r="T179" s="386"/>
      <c r="U179" s="386"/>
      <c r="V179" s="386"/>
      <c r="W179" s="386"/>
      <c r="X179" s="386"/>
    </row>
    <row r="180" spans="2:24" s="273" customFormat="1" x14ac:dyDescent="0.25">
      <c r="B180" s="277"/>
      <c r="F180" s="386"/>
      <c r="G180" s="386"/>
      <c r="H180" s="386"/>
      <c r="I180" s="386"/>
      <c r="J180" s="386"/>
      <c r="K180" s="386"/>
      <c r="L180" s="386"/>
      <c r="M180" s="386"/>
      <c r="N180" s="386"/>
      <c r="O180" s="386"/>
      <c r="P180" s="386"/>
      <c r="Q180" s="386"/>
      <c r="R180" s="386"/>
      <c r="S180" s="386"/>
      <c r="T180" s="386"/>
      <c r="U180" s="386"/>
      <c r="V180" s="386"/>
      <c r="W180" s="386"/>
      <c r="X180" s="386"/>
    </row>
    <row r="181" spans="2:24" s="273" customFormat="1" x14ac:dyDescent="0.25">
      <c r="B181" s="277"/>
      <c r="F181" s="386"/>
      <c r="G181" s="386"/>
      <c r="H181" s="386"/>
      <c r="I181" s="386"/>
      <c r="J181" s="386"/>
      <c r="K181" s="386"/>
      <c r="L181" s="386"/>
      <c r="M181" s="386"/>
      <c r="N181" s="386"/>
      <c r="O181" s="386"/>
      <c r="P181" s="386"/>
      <c r="Q181" s="386"/>
      <c r="R181" s="386"/>
      <c r="S181" s="386"/>
      <c r="T181" s="386"/>
      <c r="U181" s="386"/>
      <c r="V181" s="386"/>
      <c r="W181" s="386"/>
      <c r="X181" s="386"/>
    </row>
    <row r="182" spans="2:24" s="273" customFormat="1" x14ac:dyDescent="0.25">
      <c r="B182" s="277"/>
      <c r="F182" s="386"/>
      <c r="G182" s="386"/>
      <c r="H182" s="386"/>
      <c r="I182" s="386"/>
      <c r="J182" s="386"/>
      <c r="K182" s="386"/>
      <c r="L182" s="386"/>
      <c r="M182" s="386"/>
      <c r="N182" s="386"/>
      <c r="O182" s="386"/>
      <c r="P182" s="386"/>
      <c r="Q182" s="386"/>
      <c r="R182" s="386"/>
      <c r="S182" s="386"/>
      <c r="T182" s="386"/>
      <c r="U182" s="386"/>
      <c r="V182" s="386"/>
      <c r="W182" s="386"/>
      <c r="X182" s="386"/>
    </row>
    <row r="183" spans="2:24" s="273" customFormat="1" x14ac:dyDescent="0.25">
      <c r="B183" s="277"/>
      <c r="F183" s="386"/>
      <c r="G183" s="386"/>
      <c r="H183" s="386"/>
      <c r="I183" s="386"/>
      <c r="J183" s="386"/>
      <c r="K183" s="386"/>
      <c r="L183" s="386"/>
      <c r="M183" s="386"/>
      <c r="N183" s="386"/>
      <c r="O183" s="386"/>
      <c r="P183" s="386"/>
      <c r="Q183" s="386"/>
      <c r="R183" s="386"/>
      <c r="S183" s="386"/>
      <c r="T183" s="386"/>
      <c r="U183" s="386"/>
      <c r="V183" s="386"/>
      <c r="W183" s="386"/>
      <c r="X183" s="386"/>
    </row>
    <row r="184" spans="2:24" s="273" customFormat="1" x14ac:dyDescent="0.25">
      <c r="B184" s="277"/>
      <c r="F184" s="386"/>
      <c r="G184" s="386"/>
      <c r="H184" s="386"/>
      <c r="I184" s="386"/>
      <c r="J184" s="386"/>
      <c r="K184" s="386"/>
      <c r="L184" s="386"/>
      <c r="M184" s="386"/>
      <c r="N184" s="386"/>
      <c r="O184" s="386"/>
      <c r="P184" s="386"/>
      <c r="Q184" s="386"/>
      <c r="R184" s="386"/>
      <c r="S184" s="386"/>
      <c r="T184" s="386"/>
      <c r="U184" s="386"/>
      <c r="V184" s="386"/>
      <c r="W184" s="386"/>
      <c r="X184" s="386"/>
    </row>
    <row r="185" spans="2:24" s="273" customFormat="1" x14ac:dyDescent="0.25">
      <c r="B185" s="277"/>
      <c r="F185" s="386"/>
      <c r="G185" s="386"/>
      <c r="H185" s="386"/>
      <c r="I185" s="386"/>
      <c r="J185" s="386"/>
      <c r="K185" s="386"/>
      <c r="L185" s="386"/>
      <c r="M185" s="386"/>
      <c r="N185" s="386"/>
      <c r="O185" s="386"/>
      <c r="P185" s="386"/>
      <c r="Q185" s="386"/>
      <c r="R185" s="386"/>
      <c r="S185" s="386"/>
      <c r="T185" s="386"/>
      <c r="U185" s="386"/>
      <c r="V185" s="386"/>
      <c r="W185" s="386"/>
      <c r="X185" s="386"/>
    </row>
    <row r="186" spans="2:24" s="273" customFormat="1" x14ac:dyDescent="0.25">
      <c r="B186" s="277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2:24" s="273" customFormat="1" x14ac:dyDescent="0.25">
      <c r="B187" s="277"/>
      <c r="F187" s="386"/>
      <c r="G187" s="386"/>
      <c r="H187" s="386"/>
      <c r="I187" s="386"/>
      <c r="J187" s="386"/>
      <c r="K187" s="386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2:24" s="273" customFormat="1" x14ac:dyDescent="0.25">
      <c r="B188" s="277"/>
      <c r="F188" s="386"/>
      <c r="G188" s="386"/>
      <c r="H188" s="386"/>
      <c r="I188" s="386"/>
      <c r="J188" s="386"/>
      <c r="K188" s="386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2:24" s="273" customFormat="1" x14ac:dyDescent="0.25">
      <c r="B189" s="277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2:24" s="273" customFormat="1" x14ac:dyDescent="0.25">
      <c r="B190" s="277"/>
      <c r="F190" s="386"/>
      <c r="G190" s="386"/>
      <c r="H190" s="386"/>
      <c r="I190" s="386"/>
      <c r="J190" s="386"/>
      <c r="K190" s="386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2:24" s="273" customFormat="1" x14ac:dyDescent="0.25">
      <c r="B191" s="277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2:24" s="273" customFormat="1" x14ac:dyDescent="0.25">
      <c r="B192" s="277"/>
      <c r="F192" s="386"/>
      <c r="G192" s="386"/>
      <c r="H192" s="386"/>
      <c r="I192" s="386"/>
      <c r="J192" s="386"/>
      <c r="K192" s="386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2:24" s="273" customFormat="1" x14ac:dyDescent="0.25">
      <c r="B193" s="277"/>
      <c r="F193" s="386"/>
      <c r="G193" s="386"/>
      <c r="H193" s="386"/>
      <c r="I193" s="386"/>
      <c r="J193" s="386"/>
      <c r="K193" s="386"/>
      <c r="L193" s="386"/>
      <c r="M193" s="386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  <row r="194" spans="2:24" s="273" customFormat="1" x14ac:dyDescent="0.25">
      <c r="B194" s="277"/>
      <c r="F194" s="386"/>
      <c r="G194" s="386"/>
      <c r="H194" s="386"/>
      <c r="I194" s="386"/>
      <c r="J194" s="386"/>
      <c r="K194" s="386"/>
      <c r="L194" s="386"/>
      <c r="M194" s="386"/>
      <c r="N194" s="386"/>
      <c r="O194" s="386"/>
      <c r="P194" s="386"/>
      <c r="Q194" s="386"/>
      <c r="R194" s="386"/>
      <c r="S194" s="386"/>
      <c r="T194" s="386"/>
      <c r="U194" s="386"/>
      <c r="V194" s="386"/>
      <c r="W194" s="386"/>
      <c r="X194" s="386"/>
    </row>
    <row r="195" spans="2:24" s="273" customFormat="1" x14ac:dyDescent="0.25">
      <c r="B195" s="277"/>
      <c r="F195" s="386"/>
      <c r="G195" s="386"/>
      <c r="H195" s="386"/>
      <c r="I195" s="386"/>
      <c r="J195" s="386"/>
      <c r="K195" s="386"/>
      <c r="L195" s="386"/>
      <c r="M195" s="386"/>
      <c r="N195" s="386"/>
      <c r="O195" s="386"/>
      <c r="P195" s="386"/>
      <c r="Q195" s="386"/>
      <c r="R195" s="386"/>
      <c r="S195" s="386"/>
      <c r="T195" s="386"/>
      <c r="U195" s="386"/>
      <c r="V195" s="386"/>
      <c r="W195" s="386"/>
      <c r="X195" s="386"/>
    </row>
    <row r="196" spans="2:24" s="273" customFormat="1" x14ac:dyDescent="0.25">
      <c r="B196" s="277"/>
      <c r="F196" s="386"/>
      <c r="G196" s="386"/>
      <c r="H196" s="386"/>
      <c r="I196" s="386"/>
      <c r="J196" s="386"/>
      <c r="K196" s="386"/>
      <c r="L196" s="386"/>
      <c r="M196" s="386"/>
      <c r="N196" s="386"/>
      <c r="O196" s="386"/>
      <c r="P196" s="386"/>
      <c r="Q196" s="386"/>
      <c r="R196" s="386"/>
      <c r="S196" s="386"/>
      <c r="T196" s="386"/>
      <c r="U196" s="386"/>
      <c r="V196" s="386"/>
      <c r="W196" s="386"/>
      <c r="X196" s="386"/>
    </row>
    <row r="197" spans="2:24" s="273" customFormat="1" x14ac:dyDescent="0.25">
      <c r="B197" s="277"/>
      <c r="F197" s="386"/>
      <c r="G197" s="386"/>
      <c r="H197" s="386"/>
      <c r="I197" s="386"/>
      <c r="J197" s="386"/>
      <c r="K197" s="386"/>
      <c r="L197" s="386"/>
      <c r="M197" s="386"/>
      <c r="N197" s="386"/>
      <c r="O197" s="386"/>
      <c r="P197" s="386"/>
      <c r="Q197" s="386"/>
      <c r="R197" s="386"/>
      <c r="S197" s="386"/>
      <c r="T197" s="386"/>
      <c r="U197" s="386"/>
      <c r="V197" s="386"/>
      <c r="W197" s="386"/>
      <c r="X197" s="386"/>
    </row>
    <row r="198" spans="2:24" s="273" customFormat="1" x14ac:dyDescent="0.25">
      <c r="B198" s="277"/>
      <c r="F198" s="386"/>
      <c r="G198" s="386"/>
      <c r="H198" s="386"/>
      <c r="I198" s="386"/>
      <c r="J198" s="386"/>
      <c r="K198" s="386"/>
      <c r="L198" s="386"/>
      <c r="M198" s="386"/>
      <c r="N198" s="386"/>
      <c r="O198" s="386"/>
      <c r="P198" s="386"/>
      <c r="Q198" s="386"/>
      <c r="R198" s="386"/>
      <c r="S198" s="386"/>
      <c r="T198" s="386"/>
      <c r="U198" s="386"/>
      <c r="V198" s="386"/>
      <c r="W198" s="386"/>
      <c r="X198" s="386"/>
    </row>
    <row r="199" spans="2:24" s="273" customFormat="1" x14ac:dyDescent="0.25">
      <c r="B199" s="277"/>
      <c r="F199" s="386"/>
      <c r="G199" s="386"/>
      <c r="H199" s="386"/>
      <c r="I199" s="386"/>
      <c r="J199" s="386"/>
      <c r="K199" s="386"/>
      <c r="L199" s="386"/>
      <c r="M199" s="386"/>
      <c r="N199" s="386"/>
      <c r="O199" s="386"/>
      <c r="P199" s="386"/>
      <c r="Q199" s="386"/>
      <c r="R199" s="386"/>
      <c r="S199" s="386"/>
      <c r="T199" s="386"/>
      <c r="U199" s="386"/>
      <c r="V199" s="386"/>
      <c r="W199" s="386"/>
      <c r="X199" s="386"/>
    </row>
    <row r="200" spans="2:24" s="273" customFormat="1" x14ac:dyDescent="0.25">
      <c r="B200" s="277"/>
      <c r="F200" s="386"/>
      <c r="G200" s="386"/>
      <c r="H200" s="386"/>
      <c r="I200" s="386"/>
      <c r="J200" s="386"/>
      <c r="K200" s="386"/>
      <c r="L200" s="386"/>
      <c r="M200" s="386"/>
      <c r="N200" s="386"/>
      <c r="O200" s="386"/>
      <c r="P200" s="386"/>
      <c r="Q200" s="386"/>
      <c r="R200" s="386"/>
      <c r="S200" s="386"/>
      <c r="T200" s="386"/>
      <c r="U200" s="386"/>
      <c r="V200" s="386"/>
      <c r="W200" s="386"/>
      <c r="X200" s="386"/>
    </row>
    <row r="201" spans="2:24" s="273" customFormat="1" x14ac:dyDescent="0.25">
      <c r="B201" s="277"/>
      <c r="F201" s="386"/>
      <c r="G201" s="386"/>
      <c r="H201" s="386"/>
      <c r="I201" s="386"/>
      <c r="J201" s="386"/>
      <c r="K201" s="386"/>
      <c r="L201" s="386"/>
      <c r="M201" s="386"/>
      <c r="N201" s="386"/>
      <c r="O201" s="386"/>
      <c r="P201" s="386"/>
      <c r="Q201" s="386"/>
      <c r="R201" s="386"/>
      <c r="S201" s="386"/>
      <c r="T201" s="386"/>
      <c r="U201" s="386"/>
      <c r="V201" s="386"/>
      <c r="W201" s="386"/>
      <c r="X201" s="386"/>
    </row>
    <row r="202" spans="2:24" s="273" customFormat="1" x14ac:dyDescent="0.25">
      <c r="B202" s="277"/>
      <c r="F202" s="386"/>
      <c r="G202" s="386"/>
      <c r="H202" s="386"/>
      <c r="I202" s="386"/>
      <c r="J202" s="386"/>
      <c r="K202" s="386"/>
      <c r="L202" s="386"/>
      <c r="M202" s="386"/>
      <c r="N202" s="386"/>
      <c r="O202" s="386"/>
      <c r="P202" s="386"/>
      <c r="Q202" s="386"/>
      <c r="R202" s="386"/>
      <c r="S202" s="386"/>
      <c r="T202" s="386"/>
      <c r="U202" s="386"/>
      <c r="V202" s="386"/>
      <c r="W202" s="386"/>
      <c r="X202" s="386"/>
    </row>
    <row r="203" spans="2:24" s="273" customFormat="1" x14ac:dyDescent="0.25">
      <c r="B203" s="277"/>
      <c r="F203" s="386"/>
      <c r="G203" s="386"/>
      <c r="H203" s="386"/>
      <c r="I203" s="386"/>
      <c r="J203" s="386"/>
      <c r="K203" s="386"/>
      <c r="L203" s="386"/>
      <c r="M203" s="386"/>
      <c r="N203" s="386"/>
      <c r="O203" s="386"/>
      <c r="P203" s="386"/>
      <c r="Q203" s="386"/>
      <c r="R203" s="386"/>
      <c r="S203" s="386"/>
      <c r="T203" s="386"/>
      <c r="U203" s="386"/>
      <c r="V203" s="386"/>
      <c r="W203" s="386"/>
      <c r="X203" s="386"/>
    </row>
    <row r="204" spans="2:24" s="273" customFormat="1" x14ac:dyDescent="0.25">
      <c r="B204" s="277"/>
      <c r="F204" s="386"/>
      <c r="G204" s="386"/>
      <c r="H204" s="386"/>
      <c r="I204" s="386"/>
      <c r="J204" s="386"/>
      <c r="K204" s="386"/>
      <c r="L204" s="386"/>
      <c r="M204" s="386"/>
      <c r="N204" s="386"/>
      <c r="O204" s="386"/>
      <c r="P204" s="386"/>
      <c r="Q204" s="386"/>
      <c r="R204" s="386"/>
      <c r="S204" s="386"/>
      <c r="T204" s="386"/>
      <c r="U204" s="386"/>
      <c r="V204" s="386"/>
      <c r="W204" s="386"/>
      <c r="X204" s="386"/>
    </row>
    <row r="205" spans="2:24" s="273" customFormat="1" x14ac:dyDescent="0.25">
      <c r="B205" s="277"/>
      <c r="F205" s="386"/>
      <c r="G205" s="386"/>
      <c r="H205" s="386"/>
      <c r="I205" s="386"/>
      <c r="J205" s="386"/>
      <c r="K205" s="386"/>
      <c r="L205" s="386"/>
      <c r="M205" s="386"/>
      <c r="N205" s="386"/>
      <c r="O205" s="386"/>
      <c r="P205" s="386"/>
      <c r="Q205" s="386"/>
      <c r="R205" s="386"/>
      <c r="S205" s="386"/>
      <c r="T205" s="386"/>
      <c r="U205" s="386"/>
      <c r="V205" s="386"/>
      <c r="W205" s="386"/>
      <c r="X205" s="386"/>
    </row>
    <row r="206" spans="2:24" s="273" customFormat="1" x14ac:dyDescent="0.25">
      <c r="B206" s="277"/>
      <c r="F206" s="386"/>
      <c r="G206" s="386"/>
      <c r="H206" s="386"/>
      <c r="I206" s="386"/>
      <c r="J206" s="386"/>
      <c r="K206" s="386"/>
      <c r="L206" s="386"/>
      <c r="M206" s="386"/>
      <c r="N206" s="386"/>
      <c r="O206" s="386"/>
      <c r="P206" s="386"/>
      <c r="Q206" s="386"/>
      <c r="R206" s="386"/>
      <c r="S206" s="386"/>
      <c r="T206" s="386"/>
      <c r="U206" s="386"/>
      <c r="V206" s="386"/>
      <c r="W206" s="386"/>
      <c r="X206" s="386"/>
    </row>
    <row r="207" spans="2:24" s="273" customFormat="1" x14ac:dyDescent="0.25">
      <c r="B207" s="277"/>
      <c r="F207" s="386"/>
      <c r="G207" s="386"/>
      <c r="H207" s="386"/>
      <c r="I207" s="386"/>
      <c r="J207" s="386"/>
      <c r="K207" s="386"/>
      <c r="L207" s="386"/>
      <c r="M207" s="386"/>
      <c r="N207" s="386"/>
      <c r="O207" s="386"/>
      <c r="P207" s="386"/>
      <c r="Q207" s="386"/>
      <c r="R207" s="386"/>
      <c r="S207" s="386"/>
      <c r="T207" s="386"/>
      <c r="U207" s="386"/>
      <c r="V207" s="386"/>
      <c r="W207" s="386"/>
      <c r="X207" s="386"/>
    </row>
    <row r="208" spans="2:24" s="273" customFormat="1" x14ac:dyDescent="0.25">
      <c r="B208" s="277"/>
      <c r="F208" s="386"/>
      <c r="G208" s="386"/>
      <c r="H208" s="386"/>
      <c r="I208" s="386"/>
      <c r="J208" s="386"/>
      <c r="K208" s="386"/>
      <c r="L208" s="386"/>
      <c r="M208" s="386"/>
      <c r="N208" s="386"/>
      <c r="O208" s="386"/>
      <c r="P208" s="386"/>
      <c r="Q208" s="386"/>
      <c r="R208" s="386"/>
      <c r="S208" s="386"/>
      <c r="T208" s="386"/>
      <c r="U208" s="386"/>
      <c r="V208" s="386"/>
      <c r="W208" s="386"/>
      <c r="X208" s="386"/>
    </row>
    <row r="209" spans="2:24" s="273" customFormat="1" x14ac:dyDescent="0.25">
      <c r="B209" s="277"/>
      <c r="F209" s="386"/>
      <c r="G209" s="386"/>
      <c r="H209" s="386"/>
      <c r="I209" s="386"/>
      <c r="J209" s="386"/>
      <c r="K209" s="386"/>
      <c r="L209" s="386"/>
      <c r="M209" s="386"/>
      <c r="N209" s="386"/>
      <c r="O209" s="386"/>
      <c r="P209" s="386"/>
      <c r="Q209" s="386"/>
      <c r="R209" s="386"/>
      <c r="S209" s="386"/>
      <c r="T209" s="386"/>
      <c r="U209" s="386"/>
      <c r="V209" s="386"/>
      <c r="W209" s="386"/>
      <c r="X209" s="386"/>
    </row>
    <row r="210" spans="2:24" s="273" customFormat="1" x14ac:dyDescent="0.25">
      <c r="B210" s="277"/>
      <c r="F210" s="386"/>
      <c r="G210" s="386"/>
      <c r="H210" s="386"/>
      <c r="I210" s="386"/>
      <c r="J210" s="386"/>
      <c r="K210" s="386"/>
      <c r="L210" s="386"/>
      <c r="M210" s="386"/>
      <c r="N210" s="386"/>
      <c r="O210" s="386"/>
      <c r="P210" s="386"/>
      <c r="Q210" s="386"/>
      <c r="R210" s="386"/>
      <c r="S210" s="386"/>
      <c r="T210" s="386"/>
      <c r="U210" s="386"/>
      <c r="V210" s="386"/>
      <c r="W210" s="386"/>
      <c r="X210" s="386"/>
    </row>
    <row r="211" spans="2:24" s="273" customFormat="1" x14ac:dyDescent="0.25">
      <c r="B211" s="277"/>
      <c r="F211" s="386"/>
      <c r="G211" s="386"/>
      <c r="H211" s="386"/>
      <c r="I211" s="386"/>
      <c r="J211" s="386"/>
      <c r="K211" s="386"/>
      <c r="L211" s="386"/>
      <c r="M211" s="386"/>
      <c r="N211" s="386"/>
      <c r="O211" s="386"/>
      <c r="P211" s="386"/>
      <c r="Q211" s="386"/>
      <c r="R211" s="386"/>
      <c r="S211" s="386"/>
      <c r="T211" s="386"/>
      <c r="U211" s="386"/>
      <c r="V211" s="386"/>
      <c r="W211" s="386"/>
      <c r="X211" s="386"/>
    </row>
    <row r="212" spans="2:24" s="273" customFormat="1" x14ac:dyDescent="0.25">
      <c r="B212" s="277"/>
      <c r="F212" s="386"/>
      <c r="G212" s="386"/>
      <c r="H212" s="386"/>
      <c r="I212" s="386"/>
      <c r="J212" s="386"/>
      <c r="K212" s="386"/>
      <c r="L212" s="386"/>
      <c r="M212" s="386"/>
      <c r="N212" s="386"/>
      <c r="O212" s="386"/>
      <c r="P212" s="386"/>
      <c r="Q212" s="386"/>
      <c r="R212" s="386"/>
      <c r="S212" s="386"/>
      <c r="T212" s="386"/>
      <c r="U212" s="386"/>
      <c r="V212" s="386"/>
      <c r="W212" s="386"/>
      <c r="X212" s="386"/>
    </row>
    <row r="213" spans="2:24" s="273" customFormat="1" x14ac:dyDescent="0.25">
      <c r="B213" s="277"/>
      <c r="F213" s="386"/>
      <c r="G213" s="386"/>
      <c r="H213" s="386"/>
      <c r="I213" s="386"/>
      <c r="J213" s="386"/>
      <c r="K213" s="386"/>
      <c r="L213" s="386"/>
      <c r="M213" s="386"/>
      <c r="N213" s="386"/>
      <c r="O213" s="386"/>
      <c r="P213" s="386"/>
      <c r="Q213" s="386"/>
      <c r="R213" s="386"/>
      <c r="S213" s="386"/>
      <c r="T213" s="386"/>
      <c r="U213" s="386"/>
      <c r="V213" s="386"/>
      <c r="W213" s="386"/>
      <c r="X213" s="386"/>
    </row>
    <row r="214" spans="2:24" s="273" customFormat="1" x14ac:dyDescent="0.25">
      <c r="B214" s="277"/>
      <c r="F214" s="386"/>
      <c r="G214" s="386"/>
      <c r="H214" s="386"/>
      <c r="I214" s="386"/>
      <c r="J214" s="386"/>
      <c r="K214" s="386"/>
      <c r="L214" s="386"/>
      <c r="M214" s="386"/>
      <c r="N214" s="386"/>
      <c r="O214" s="386"/>
      <c r="P214" s="386"/>
      <c r="Q214" s="386"/>
      <c r="R214" s="386"/>
      <c r="S214" s="386"/>
      <c r="T214" s="386"/>
      <c r="U214" s="386"/>
      <c r="V214" s="386"/>
      <c r="W214" s="386"/>
      <c r="X214" s="386"/>
    </row>
    <row r="215" spans="2:24" s="273" customFormat="1" x14ac:dyDescent="0.25">
      <c r="B215" s="277"/>
      <c r="F215" s="386"/>
      <c r="G215" s="386"/>
      <c r="H215" s="386"/>
      <c r="I215" s="386"/>
      <c r="J215" s="386"/>
      <c r="K215" s="386"/>
      <c r="L215" s="386"/>
      <c r="M215" s="386"/>
      <c r="N215" s="386"/>
      <c r="O215" s="386"/>
      <c r="P215" s="386"/>
      <c r="Q215" s="386"/>
      <c r="R215" s="386"/>
      <c r="S215" s="386"/>
      <c r="T215" s="386"/>
      <c r="U215" s="386"/>
      <c r="V215" s="386"/>
      <c r="W215" s="386"/>
      <c r="X215" s="386"/>
    </row>
    <row r="216" spans="2:24" s="273" customFormat="1" x14ac:dyDescent="0.25">
      <c r="B216" s="277"/>
      <c r="F216" s="386"/>
      <c r="G216" s="386"/>
      <c r="H216" s="386"/>
      <c r="I216" s="386"/>
      <c r="J216" s="386"/>
      <c r="K216" s="386"/>
      <c r="L216" s="386"/>
      <c r="M216" s="386"/>
      <c r="N216" s="386"/>
      <c r="O216" s="386"/>
      <c r="P216" s="386"/>
      <c r="Q216" s="386"/>
      <c r="R216" s="386"/>
      <c r="S216" s="386"/>
      <c r="T216" s="386"/>
      <c r="U216" s="386"/>
      <c r="V216" s="386"/>
      <c r="W216" s="386"/>
      <c r="X216" s="386"/>
    </row>
    <row r="217" spans="2:24" s="273" customFormat="1" x14ac:dyDescent="0.25">
      <c r="B217" s="277"/>
      <c r="F217" s="386"/>
      <c r="G217" s="386"/>
      <c r="H217" s="386"/>
      <c r="I217" s="386"/>
      <c r="J217" s="386"/>
      <c r="K217" s="386"/>
      <c r="L217" s="386"/>
      <c r="M217" s="386"/>
      <c r="N217" s="386"/>
      <c r="O217" s="386"/>
      <c r="P217" s="386"/>
      <c r="Q217" s="386"/>
      <c r="R217" s="386"/>
      <c r="S217" s="386"/>
      <c r="T217" s="386"/>
      <c r="U217" s="386"/>
      <c r="V217" s="386"/>
      <c r="W217" s="386"/>
      <c r="X217" s="386"/>
    </row>
    <row r="218" spans="2:24" s="273" customFormat="1" x14ac:dyDescent="0.25">
      <c r="B218" s="277"/>
      <c r="F218" s="386"/>
      <c r="G218" s="386"/>
      <c r="H218" s="386"/>
      <c r="I218" s="386"/>
      <c r="J218" s="386"/>
      <c r="K218" s="386"/>
      <c r="L218" s="386"/>
      <c r="M218" s="386"/>
      <c r="N218" s="386"/>
      <c r="O218" s="386"/>
      <c r="P218" s="386"/>
      <c r="Q218" s="386"/>
      <c r="R218" s="386"/>
      <c r="S218" s="386"/>
      <c r="T218" s="386"/>
      <c r="U218" s="386"/>
      <c r="V218" s="386"/>
      <c r="W218" s="386"/>
      <c r="X218" s="386"/>
    </row>
    <row r="219" spans="2:24" s="273" customFormat="1" x14ac:dyDescent="0.25">
      <c r="B219" s="277"/>
      <c r="F219" s="386"/>
      <c r="G219" s="386"/>
      <c r="H219" s="386"/>
      <c r="I219" s="386"/>
      <c r="J219" s="386"/>
      <c r="K219" s="386"/>
      <c r="L219" s="386"/>
      <c r="M219" s="386"/>
      <c r="N219" s="386"/>
      <c r="O219" s="386"/>
      <c r="P219" s="386"/>
      <c r="Q219" s="386"/>
      <c r="R219" s="386"/>
      <c r="S219" s="386"/>
      <c r="T219" s="386"/>
      <c r="U219" s="386"/>
      <c r="V219" s="386"/>
      <c r="W219" s="386"/>
      <c r="X219" s="386"/>
    </row>
    <row r="220" spans="2:24" s="273" customFormat="1" x14ac:dyDescent="0.25">
      <c r="B220" s="277"/>
      <c r="F220" s="386"/>
      <c r="G220" s="386"/>
      <c r="H220" s="386"/>
      <c r="I220" s="386"/>
      <c r="J220" s="386"/>
      <c r="K220" s="386"/>
      <c r="L220" s="386"/>
      <c r="M220" s="386"/>
      <c r="N220" s="386"/>
      <c r="O220" s="386"/>
      <c r="P220" s="386"/>
      <c r="Q220" s="386"/>
      <c r="R220" s="386"/>
      <c r="S220" s="386"/>
      <c r="T220" s="386"/>
      <c r="U220" s="386"/>
      <c r="V220" s="386"/>
      <c r="W220" s="386"/>
      <c r="X220" s="386"/>
    </row>
    <row r="221" spans="2:24" s="273" customFormat="1" x14ac:dyDescent="0.25">
      <c r="B221" s="277"/>
      <c r="F221" s="386"/>
      <c r="G221" s="386"/>
      <c r="H221" s="386"/>
      <c r="I221" s="386"/>
      <c r="J221" s="386"/>
      <c r="K221" s="386"/>
      <c r="L221" s="386"/>
      <c r="M221" s="386"/>
      <c r="N221" s="386"/>
      <c r="O221" s="386"/>
      <c r="P221" s="386"/>
      <c r="Q221" s="386"/>
      <c r="R221" s="386"/>
      <c r="S221" s="386"/>
      <c r="T221" s="386"/>
      <c r="U221" s="386"/>
      <c r="V221" s="386"/>
      <c r="W221" s="386"/>
      <c r="X221" s="386"/>
    </row>
    <row r="222" spans="2:24" s="273" customFormat="1" x14ac:dyDescent="0.25">
      <c r="B222" s="277"/>
      <c r="F222" s="386"/>
      <c r="G222" s="386"/>
      <c r="H222" s="386"/>
      <c r="I222" s="386"/>
      <c r="J222" s="386"/>
      <c r="K222" s="386"/>
      <c r="L222" s="386"/>
      <c r="M222" s="386"/>
      <c r="N222" s="386"/>
      <c r="O222" s="386"/>
      <c r="P222" s="386"/>
      <c r="Q222" s="386"/>
      <c r="R222" s="386"/>
      <c r="S222" s="386"/>
      <c r="T222" s="386"/>
      <c r="U222" s="386"/>
      <c r="V222" s="386"/>
      <c r="W222" s="386"/>
      <c r="X222" s="386"/>
    </row>
    <row r="223" spans="2:24" s="273" customFormat="1" x14ac:dyDescent="0.25">
      <c r="B223" s="277"/>
      <c r="F223" s="386"/>
      <c r="G223" s="386"/>
      <c r="H223" s="386"/>
      <c r="I223" s="386"/>
      <c r="J223" s="386"/>
      <c r="K223" s="386"/>
      <c r="L223" s="386"/>
      <c r="M223" s="386"/>
      <c r="N223" s="386"/>
      <c r="O223" s="386"/>
      <c r="P223" s="386"/>
      <c r="Q223" s="386"/>
      <c r="R223" s="386"/>
      <c r="S223" s="386"/>
      <c r="T223" s="386"/>
      <c r="U223" s="386"/>
      <c r="V223" s="386"/>
      <c r="W223" s="386"/>
      <c r="X223" s="386"/>
    </row>
    <row r="224" spans="2:24" s="273" customFormat="1" x14ac:dyDescent="0.25">
      <c r="B224" s="277"/>
      <c r="F224" s="386"/>
      <c r="G224" s="386"/>
      <c r="H224" s="386"/>
      <c r="I224" s="386"/>
      <c r="J224" s="386"/>
      <c r="K224" s="386"/>
      <c r="L224" s="386"/>
      <c r="M224" s="386"/>
      <c r="N224" s="386"/>
      <c r="O224" s="386"/>
      <c r="P224" s="386"/>
      <c r="Q224" s="386"/>
      <c r="R224" s="386"/>
      <c r="S224" s="386"/>
      <c r="T224" s="386"/>
      <c r="U224" s="386"/>
      <c r="V224" s="386"/>
      <c r="W224" s="386"/>
      <c r="X224" s="386"/>
    </row>
    <row r="225" spans="2:24" s="273" customFormat="1" x14ac:dyDescent="0.25">
      <c r="B225" s="277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6"/>
      <c r="Q225" s="386"/>
      <c r="R225" s="386"/>
      <c r="S225" s="386"/>
      <c r="T225" s="386"/>
      <c r="U225" s="386"/>
      <c r="V225" s="386"/>
      <c r="W225" s="386"/>
      <c r="X225" s="386"/>
    </row>
    <row r="226" spans="2:24" s="273" customFormat="1" x14ac:dyDescent="0.25">
      <c r="B226" s="277"/>
      <c r="F226" s="386"/>
      <c r="G226" s="386"/>
      <c r="H226" s="386"/>
      <c r="I226" s="386"/>
      <c r="J226" s="386"/>
      <c r="K226" s="386"/>
      <c r="L226" s="386"/>
      <c r="M226" s="386"/>
      <c r="N226" s="386"/>
      <c r="O226" s="386"/>
      <c r="P226" s="386"/>
      <c r="Q226" s="386"/>
      <c r="R226" s="386"/>
      <c r="S226" s="386"/>
      <c r="T226" s="386"/>
      <c r="U226" s="386"/>
      <c r="V226" s="386"/>
      <c r="W226" s="386"/>
      <c r="X226" s="386"/>
    </row>
    <row r="227" spans="2:24" s="273" customFormat="1" x14ac:dyDescent="0.25">
      <c r="B227" s="277"/>
      <c r="F227" s="386"/>
      <c r="G227" s="386"/>
      <c r="H227" s="386"/>
      <c r="I227" s="386"/>
      <c r="J227" s="386"/>
      <c r="K227" s="386"/>
      <c r="L227" s="386"/>
      <c r="M227" s="386"/>
      <c r="N227" s="386"/>
      <c r="O227" s="386"/>
      <c r="P227" s="386"/>
      <c r="Q227" s="386"/>
      <c r="R227" s="386"/>
      <c r="S227" s="386"/>
      <c r="T227" s="386"/>
      <c r="U227" s="386"/>
      <c r="V227" s="386"/>
      <c r="W227" s="386"/>
      <c r="X227" s="386"/>
    </row>
    <row r="228" spans="2:24" s="273" customFormat="1" x14ac:dyDescent="0.25">
      <c r="B228" s="277"/>
      <c r="F228" s="386"/>
      <c r="G228" s="386"/>
      <c r="H228" s="386"/>
      <c r="I228" s="386"/>
      <c r="J228" s="386"/>
      <c r="K228" s="386"/>
      <c r="L228" s="386"/>
      <c r="M228" s="386"/>
      <c r="N228" s="386"/>
      <c r="O228" s="386"/>
      <c r="P228" s="386"/>
      <c r="Q228" s="386"/>
      <c r="R228" s="386"/>
      <c r="S228" s="386"/>
      <c r="T228" s="386"/>
      <c r="U228" s="386"/>
      <c r="V228" s="386"/>
      <c r="W228" s="386"/>
      <c r="X228" s="386"/>
    </row>
    <row r="229" spans="2:24" s="273" customFormat="1" x14ac:dyDescent="0.25">
      <c r="B229" s="277"/>
      <c r="F229" s="386"/>
      <c r="G229" s="386"/>
      <c r="H229" s="386"/>
      <c r="I229" s="386"/>
      <c r="J229" s="386"/>
      <c r="K229" s="386"/>
      <c r="L229" s="386"/>
      <c r="M229" s="386"/>
      <c r="N229" s="386"/>
      <c r="O229" s="386"/>
      <c r="P229" s="386"/>
      <c r="Q229" s="386"/>
      <c r="R229" s="386"/>
      <c r="S229" s="386"/>
      <c r="T229" s="386"/>
      <c r="U229" s="386"/>
      <c r="V229" s="386"/>
      <c r="W229" s="386"/>
      <c r="X229" s="386"/>
    </row>
    <row r="230" spans="2:24" s="273" customFormat="1" x14ac:dyDescent="0.25">
      <c r="B230" s="277"/>
      <c r="F230" s="386"/>
      <c r="G230" s="386"/>
      <c r="H230" s="386"/>
      <c r="I230" s="386"/>
      <c r="J230" s="386"/>
      <c r="K230" s="386"/>
      <c r="L230" s="386"/>
      <c r="M230" s="386"/>
      <c r="N230" s="386"/>
      <c r="O230" s="386"/>
      <c r="P230" s="386"/>
      <c r="Q230" s="386"/>
      <c r="R230" s="386"/>
      <c r="S230" s="386"/>
      <c r="T230" s="386"/>
      <c r="U230" s="386"/>
      <c r="V230" s="386"/>
      <c r="W230" s="386"/>
      <c r="X230" s="386"/>
    </row>
    <row r="231" spans="2:24" s="273" customFormat="1" x14ac:dyDescent="0.25">
      <c r="B231" s="277"/>
      <c r="F231" s="386"/>
      <c r="G231" s="386"/>
      <c r="H231" s="386"/>
      <c r="I231" s="386"/>
      <c r="J231" s="386"/>
      <c r="K231" s="386"/>
      <c r="L231" s="386"/>
      <c r="M231" s="386"/>
      <c r="N231" s="386"/>
      <c r="O231" s="386"/>
      <c r="P231" s="386"/>
      <c r="Q231" s="386"/>
      <c r="R231" s="386"/>
      <c r="S231" s="386"/>
      <c r="T231" s="386"/>
      <c r="U231" s="386"/>
      <c r="V231" s="386"/>
      <c r="W231" s="386"/>
      <c r="X231" s="386"/>
    </row>
    <row r="232" spans="2:24" s="273" customFormat="1" x14ac:dyDescent="0.25">
      <c r="B232" s="277"/>
      <c r="F232" s="386"/>
      <c r="G232" s="386"/>
      <c r="H232" s="386"/>
      <c r="I232" s="386"/>
      <c r="J232" s="386"/>
      <c r="K232" s="386"/>
      <c r="L232" s="386"/>
      <c r="M232" s="386"/>
      <c r="N232" s="386"/>
      <c r="O232" s="386"/>
      <c r="P232" s="386"/>
      <c r="Q232" s="386"/>
      <c r="R232" s="386"/>
      <c r="S232" s="386"/>
      <c r="T232" s="386"/>
      <c r="U232" s="386"/>
      <c r="V232" s="386"/>
      <c r="W232" s="386"/>
      <c r="X232" s="386"/>
    </row>
    <row r="233" spans="2:24" s="273" customFormat="1" x14ac:dyDescent="0.25">
      <c r="B233" s="277"/>
      <c r="F233" s="386"/>
      <c r="G233" s="386"/>
      <c r="H233" s="386"/>
      <c r="I233" s="386"/>
      <c r="J233" s="386"/>
      <c r="K233" s="386"/>
      <c r="L233" s="386"/>
      <c r="M233" s="386"/>
      <c r="N233" s="386"/>
      <c r="O233" s="386"/>
      <c r="P233" s="386"/>
      <c r="Q233" s="386"/>
      <c r="R233" s="386"/>
      <c r="S233" s="386"/>
      <c r="T233" s="386"/>
      <c r="U233" s="386"/>
      <c r="V233" s="386"/>
      <c r="W233" s="386"/>
      <c r="X233" s="386"/>
    </row>
    <row r="234" spans="2:24" s="273" customFormat="1" x14ac:dyDescent="0.25">
      <c r="B234" s="277"/>
      <c r="F234" s="386"/>
      <c r="G234" s="386"/>
      <c r="H234" s="386"/>
      <c r="I234" s="386"/>
      <c r="J234" s="386"/>
      <c r="K234" s="386"/>
      <c r="L234" s="386"/>
      <c r="M234" s="386"/>
      <c r="N234" s="386"/>
      <c r="O234" s="386"/>
      <c r="P234" s="386"/>
      <c r="Q234" s="386"/>
      <c r="R234" s="386"/>
      <c r="S234" s="386"/>
      <c r="T234" s="386"/>
      <c r="U234" s="386"/>
      <c r="V234" s="386"/>
      <c r="W234" s="386"/>
      <c r="X234" s="386"/>
    </row>
    <row r="235" spans="2:24" s="273" customFormat="1" x14ac:dyDescent="0.25">
      <c r="B235" s="277"/>
      <c r="F235" s="386"/>
      <c r="G235" s="386"/>
      <c r="H235" s="386"/>
      <c r="I235" s="386"/>
      <c r="J235" s="386"/>
      <c r="K235" s="386"/>
      <c r="L235" s="386"/>
      <c r="M235" s="386"/>
      <c r="N235" s="386"/>
      <c r="O235" s="386"/>
      <c r="P235" s="386"/>
      <c r="Q235" s="386"/>
      <c r="R235" s="386"/>
      <c r="S235" s="386"/>
      <c r="T235" s="386"/>
      <c r="U235" s="386"/>
      <c r="V235" s="386"/>
      <c r="W235" s="386"/>
      <c r="X235" s="386"/>
    </row>
    <row r="236" spans="2:24" s="273" customFormat="1" x14ac:dyDescent="0.25">
      <c r="B236" s="277"/>
      <c r="F236" s="386"/>
      <c r="G236" s="386"/>
      <c r="H236" s="386"/>
      <c r="I236" s="386"/>
      <c r="J236" s="386"/>
      <c r="K236" s="386"/>
      <c r="L236" s="386"/>
      <c r="M236" s="386"/>
      <c r="N236" s="386"/>
      <c r="O236" s="386"/>
      <c r="P236" s="386"/>
      <c r="Q236" s="386"/>
      <c r="R236" s="386"/>
      <c r="S236" s="386"/>
      <c r="T236" s="386"/>
      <c r="U236" s="386"/>
      <c r="V236" s="386"/>
      <c r="W236" s="386"/>
      <c r="X236" s="386"/>
    </row>
    <row r="237" spans="2:24" s="273" customFormat="1" x14ac:dyDescent="0.25">
      <c r="B237" s="277"/>
      <c r="F237" s="386"/>
      <c r="G237" s="386"/>
      <c r="H237" s="386"/>
      <c r="I237" s="386"/>
      <c r="J237" s="386"/>
      <c r="K237" s="386"/>
      <c r="L237" s="386"/>
      <c r="M237" s="386"/>
      <c r="N237" s="386"/>
      <c r="O237" s="386"/>
      <c r="P237" s="386"/>
      <c r="Q237" s="386"/>
      <c r="R237" s="386"/>
      <c r="S237" s="386"/>
      <c r="T237" s="386"/>
      <c r="U237" s="386"/>
      <c r="V237" s="386"/>
      <c r="W237" s="386"/>
      <c r="X237" s="386"/>
    </row>
    <row r="238" spans="2:24" s="273" customFormat="1" x14ac:dyDescent="0.25">
      <c r="B238" s="277"/>
      <c r="F238" s="386"/>
      <c r="G238" s="386"/>
      <c r="H238" s="386"/>
      <c r="I238" s="386"/>
      <c r="J238" s="386"/>
      <c r="K238" s="386"/>
      <c r="L238" s="386"/>
      <c r="M238" s="386"/>
      <c r="N238" s="386"/>
      <c r="O238" s="386"/>
      <c r="P238" s="386"/>
      <c r="Q238" s="386"/>
      <c r="R238" s="386"/>
      <c r="S238" s="386"/>
      <c r="T238" s="386"/>
      <c r="U238" s="386"/>
      <c r="V238" s="386"/>
      <c r="W238" s="386"/>
      <c r="X238" s="386"/>
    </row>
    <row r="239" spans="2:24" s="273" customFormat="1" x14ac:dyDescent="0.25">
      <c r="B239" s="277"/>
      <c r="F239" s="386"/>
      <c r="G239" s="386"/>
      <c r="H239" s="386"/>
      <c r="I239" s="386"/>
      <c r="J239" s="386"/>
      <c r="K239" s="386"/>
      <c r="L239" s="386"/>
      <c r="M239" s="386"/>
      <c r="N239" s="386"/>
      <c r="O239" s="386"/>
      <c r="P239" s="386"/>
      <c r="Q239" s="386"/>
      <c r="R239" s="386"/>
      <c r="S239" s="386"/>
      <c r="T239" s="386"/>
      <c r="U239" s="386"/>
      <c r="V239" s="386"/>
      <c r="W239" s="386"/>
      <c r="X239" s="386"/>
    </row>
    <row r="240" spans="2:24" s="273" customFormat="1" x14ac:dyDescent="0.25">
      <c r="B240" s="277"/>
      <c r="F240" s="386"/>
      <c r="G240" s="386"/>
      <c r="H240" s="386"/>
      <c r="I240" s="386"/>
      <c r="J240" s="386"/>
      <c r="K240" s="386"/>
      <c r="L240" s="386"/>
      <c r="M240" s="386"/>
      <c r="N240" s="386"/>
      <c r="O240" s="386"/>
      <c r="P240" s="386"/>
      <c r="Q240" s="386"/>
      <c r="R240" s="386"/>
      <c r="S240" s="386"/>
      <c r="T240" s="386"/>
      <c r="U240" s="386"/>
      <c r="V240" s="386"/>
      <c r="W240" s="386"/>
      <c r="X240" s="386"/>
    </row>
    <row r="241" spans="2:24" s="273" customFormat="1" x14ac:dyDescent="0.25">
      <c r="B241" s="277"/>
      <c r="F241" s="386"/>
      <c r="G241" s="386"/>
      <c r="H241" s="386"/>
      <c r="I241" s="386"/>
      <c r="J241" s="386"/>
      <c r="K241" s="386"/>
      <c r="L241" s="386"/>
      <c r="M241" s="386"/>
      <c r="N241" s="386"/>
      <c r="O241" s="386"/>
      <c r="P241" s="386"/>
      <c r="Q241" s="386"/>
      <c r="R241" s="386"/>
      <c r="S241" s="386"/>
      <c r="T241" s="386"/>
      <c r="U241" s="386"/>
      <c r="V241" s="386"/>
      <c r="W241" s="386"/>
      <c r="X241" s="386"/>
    </row>
    <row r="242" spans="2:24" s="273" customFormat="1" x14ac:dyDescent="0.25">
      <c r="B242" s="277"/>
      <c r="F242" s="386"/>
      <c r="G242" s="386"/>
      <c r="H242" s="386"/>
      <c r="I242" s="386"/>
      <c r="J242" s="386"/>
      <c r="K242" s="386"/>
      <c r="L242" s="386"/>
      <c r="M242" s="386"/>
      <c r="N242" s="386"/>
      <c r="O242" s="386"/>
      <c r="P242" s="386"/>
      <c r="Q242" s="386"/>
      <c r="R242" s="386"/>
      <c r="S242" s="386"/>
      <c r="T242" s="386"/>
      <c r="U242" s="386"/>
      <c r="V242" s="386"/>
      <c r="W242" s="386"/>
      <c r="X242" s="386"/>
    </row>
    <row r="243" spans="2:24" s="273" customFormat="1" x14ac:dyDescent="0.25">
      <c r="B243" s="277"/>
      <c r="F243" s="386"/>
      <c r="G243" s="386"/>
      <c r="H243" s="386"/>
      <c r="I243" s="386"/>
      <c r="J243" s="386"/>
      <c r="K243" s="386"/>
      <c r="L243" s="386"/>
      <c r="M243" s="386"/>
      <c r="N243" s="386"/>
      <c r="O243" s="386"/>
      <c r="P243" s="386"/>
      <c r="Q243" s="386"/>
      <c r="R243" s="386"/>
      <c r="S243" s="386"/>
      <c r="T243" s="386"/>
      <c r="U243" s="386"/>
      <c r="V243" s="386"/>
      <c r="W243" s="386"/>
      <c r="X243" s="386"/>
    </row>
    <row r="244" spans="2:24" s="273" customFormat="1" x14ac:dyDescent="0.25">
      <c r="B244" s="277"/>
      <c r="F244" s="386"/>
      <c r="G244" s="386"/>
      <c r="H244" s="386"/>
      <c r="I244" s="386"/>
      <c r="J244" s="386"/>
      <c r="K244" s="386"/>
      <c r="L244" s="386"/>
      <c r="M244" s="386"/>
      <c r="N244" s="386"/>
      <c r="O244" s="386"/>
      <c r="P244" s="386"/>
      <c r="Q244" s="386"/>
      <c r="R244" s="386"/>
      <c r="S244" s="386"/>
      <c r="T244" s="386"/>
      <c r="U244" s="386"/>
      <c r="V244" s="386"/>
      <c r="W244" s="386"/>
      <c r="X244" s="386"/>
    </row>
    <row r="245" spans="2:24" s="273" customFormat="1" x14ac:dyDescent="0.25">
      <c r="B245" s="277"/>
      <c r="F245" s="386"/>
      <c r="G245" s="386"/>
      <c r="H245" s="386"/>
      <c r="I245" s="386"/>
      <c r="J245" s="386"/>
      <c r="K245" s="386"/>
      <c r="L245" s="386"/>
      <c r="M245" s="386"/>
      <c r="N245" s="386"/>
      <c r="O245" s="386"/>
      <c r="P245" s="386"/>
      <c r="Q245" s="386"/>
      <c r="R245" s="386"/>
      <c r="S245" s="386"/>
      <c r="T245" s="386"/>
      <c r="U245" s="386"/>
      <c r="V245" s="386"/>
      <c r="W245" s="386"/>
      <c r="X245" s="386"/>
    </row>
    <row r="246" spans="2:24" s="273" customFormat="1" x14ac:dyDescent="0.25">
      <c r="B246" s="277"/>
      <c r="F246" s="386"/>
      <c r="G246" s="386"/>
      <c r="H246" s="386"/>
      <c r="I246" s="386"/>
      <c r="J246" s="386"/>
      <c r="K246" s="386"/>
      <c r="L246" s="386"/>
      <c r="M246" s="386"/>
      <c r="N246" s="386"/>
      <c r="O246" s="386"/>
      <c r="P246" s="386"/>
      <c r="Q246" s="386"/>
      <c r="R246" s="386"/>
      <c r="S246" s="386"/>
      <c r="T246" s="386"/>
      <c r="U246" s="386"/>
      <c r="V246" s="386"/>
      <c r="W246" s="386"/>
      <c r="X246" s="386"/>
    </row>
    <row r="247" spans="2:24" s="273" customFormat="1" x14ac:dyDescent="0.25">
      <c r="B247" s="277"/>
      <c r="F247" s="386"/>
      <c r="G247" s="386"/>
      <c r="H247" s="386"/>
      <c r="I247" s="386"/>
      <c r="J247" s="386"/>
      <c r="K247" s="386"/>
      <c r="L247" s="386"/>
      <c r="M247" s="386"/>
      <c r="N247" s="386"/>
      <c r="O247" s="386"/>
      <c r="P247" s="386"/>
      <c r="Q247" s="386"/>
      <c r="R247" s="386"/>
      <c r="S247" s="386"/>
      <c r="T247" s="386"/>
      <c r="U247" s="386"/>
      <c r="V247" s="386"/>
      <c r="W247" s="386"/>
      <c r="X247" s="386"/>
    </row>
    <row r="248" spans="2:24" s="273" customFormat="1" x14ac:dyDescent="0.25">
      <c r="B248" s="277"/>
      <c r="F248" s="386"/>
      <c r="G248" s="386"/>
      <c r="H248" s="386"/>
      <c r="I248" s="386"/>
      <c r="J248" s="386"/>
      <c r="K248" s="386"/>
      <c r="L248" s="386"/>
      <c r="M248" s="386"/>
      <c r="N248" s="386"/>
      <c r="O248" s="386"/>
      <c r="P248" s="386"/>
      <c r="Q248" s="386"/>
      <c r="R248" s="386"/>
      <c r="S248" s="386"/>
      <c r="T248" s="386"/>
      <c r="U248" s="386"/>
      <c r="V248" s="386"/>
      <c r="W248" s="386"/>
      <c r="X248" s="386"/>
    </row>
    <row r="249" spans="2:24" s="273" customFormat="1" x14ac:dyDescent="0.25">
      <c r="B249" s="277"/>
      <c r="F249" s="386"/>
      <c r="G249" s="386"/>
      <c r="H249" s="386"/>
      <c r="I249" s="386"/>
      <c r="J249" s="386"/>
      <c r="K249" s="386"/>
      <c r="L249" s="386"/>
      <c r="M249" s="386"/>
      <c r="N249" s="386"/>
      <c r="O249" s="386"/>
      <c r="P249" s="386"/>
      <c r="Q249" s="386"/>
      <c r="R249" s="386"/>
      <c r="S249" s="386"/>
      <c r="T249" s="386"/>
      <c r="U249" s="386"/>
      <c r="V249" s="386"/>
      <c r="W249" s="386"/>
      <c r="X249" s="386"/>
    </row>
    <row r="250" spans="2:24" s="273" customFormat="1" x14ac:dyDescent="0.25">
      <c r="B250" s="277"/>
      <c r="F250" s="386"/>
      <c r="G250" s="386"/>
      <c r="H250" s="386"/>
      <c r="I250" s="386"/>
      <c r="J250" s="386"/>
      <c r="K250" s="386"/>
      <c r="L250" s="386"/>
      <c r="M250" s="386"/>
      <c r="N250" s="386"/>
      <c r="O250" s="386"/>
      <c r="P250" s="386"/>
      <c r="Q250" s="386"/>
      <c r="R250" s="386"/>
      <c r="S250" s="386"/>
      <c r="T250" s="386"/>
      <c r="U250" s="386"/>
      <c r="V250" s="386"/>
      <c r="W250" s="386"/>
      <c r="X250" s="386"/>
    </row>
    <row r="251" spans="2:24" s="273" customFormat="1" x14ac:dyDescent="0.25">
      <c r="B251" s="277"/>
      <c r="F251" s="386"/>
      <c r="G251" s="386"/>
      <c r="H251" s="386"/>
      <c r="I251" s="386"/>
      <c r="J251" s="386"/>
      <c r="K251" s="386"/>
      <c r="L251" s="386"/>
      <c r="M251" s="386"/>
      <c r="N251" s="386"/>
      <c r="O251" s="386"/>
      <c r="P251" s="386"/>
      <c r="Q251" s="386"/>
      <c r="R251" s="386"/>
      <c r="S251" s="386"/>
      <c r="T251" s="386"/>
      <c r="U251" s="386"/>
      <c r="V251" s="386"/>
      <c r="W251" s="386"/>
      <c r="X251" s="386"/>
    </row>
    <row r="252" spans="2:24" s="273" customFormat="1" x14ac:dyDescent="0.25">
      <c r="B252" s="277"/>
      <c r="F252" s="386"/>
      <c r="G252" s="386"/>
      <c r="H252" s="386"/>
      <c r="I252" s="386"/>
      <c r="J252" s="386"/>
      <c r="K252" s="386"/>
      <c r="L252" s="386"/>
      <c r="M252" s="386"/>
      <c r="N252" s="386"/>
      <c r="O252" s="386"/>
      <c r="P252" s="386"/>
      <c r="Q252" s="386"/>
      <c r="R252" s="386"/>
      <c r="S252" s="386"/>
      <c r="T252" s="386"/>
      <c r="U252" s="386"/>
      <c r="V252" s="386"/>
      <c r="W252" s="386"/>
      <c r="X252" s="386"/>
    </row>
    <row r="253" spans="2:24" s="273" customFormat="1" x14ac:dyDescent="0.25">
      <c r="B253" s="277"/>
      <c r="F253" s="386"/>
      <c r="G253" s="386"/>
      <c r="H253" s="386"/>
      <c r="I253" s="386"/>
      <c r="J253" s="386"/>
      <c r="K253" s="386"/>
      <c r="L253" s="386"/>
      <c r="M253" s="386"/>
      <c r="N253" s="386"/>
      <c r="O253" s="386"/>
      <c r="P253" s="386"/>
      <c r="Q253" s="386"/>
      <c r="R253" s="386"/>
      <c r="S253" s="386"/>
      <c r="T253" s="386"/>
      <c r="U253" s="386"/>
      <c r="V253" s="386"/>
      <c r="W253" s="386"/>
      <c r="X253" s="386"/>
    </row>
    <row r="254" spans="2:24" s="273" customFormat="1" x14ac:dyDescent="0.25">
      <c r="B254" s="277"/>
      <c r="F254" s="386"/>
      <c r="G254" s="386"/>
      <c r="H254" s="386"/>
      <c r="I254" s="386"/>
      <c r="J254" s="386"/>
      <c r="K254" s="386"/>
      <c r="L254" s="386"/>
      <c r="M254" s="386"/>
      <c r="N254" s="386"/>
      <c r="O254" s="386"/>
      <c r="P254" s="386"/>
      <c r="Q254" s="386"/>
      <c r="R254" s="386"/>
      <c r="S254" s="386"/>
      <c r="T254" s="386"/>
      <c r="U254" s="386"/>
      <c r="V254" s="386"/>
      <c r="W254" s="386"/>
      <c r="X254" s="386"/>
    </row>
    <row r="255" spans="2:24" s="273" customFormat="1" x14ac:dyDescent="0.25">
      <c r="B255" s="277"/>
      <c r="F255" s="386"/>
      <c r="G255" s="386"/>
      <c r="H255" s="386"/>
      <c r="I255" s="386"/>
      <c r="J255" s="386"/>
      <c r="K255" s="386"/>
      <c r="L255" s="386"/>
      <c r="M255" s="386"/>
      <c r="N255" s="386"/>
      <c r="O255" s="386"/>
      <c r="P255" s="386"/>
      <c r="Q255" s="386"/>
      <c r="R255" s="386"/>
      <c r="S255" s="386"/>
      <c r="T255" s="386"/>
      <c r="U255" s="386"/>
      <c r="V255" s="386"/>
      <c r="W255" s="386"/>
      <c r="X255" s="386"/>
    </row>
    <row r="256" spans="2:24" s="273" customFormat="1" x14ac:dyDescent="0.25">
      <c r="B256" s="277"/>
      <c r="F256" s="386"/>
      <c r="G256" s="386"/>
      <c r="H256" s="386"/>
      <c r="I256" s="386"/>
      <c r="J256" s="386"/>
      <c r="K256" s="386"/>
      <c r="L256" s="386"/>
      <c r="M256" s="386"/>
      <c r="N256" s="386"/>
      <c r="O256" s="386"/>
      <c r="P256" s="386"/>
      <c r="Q256" s="386"/>
      <c r="R256" s="386"/>
      <c r="S256" s="386"/>
      <c r="T256" s="386"/>
      <c r="U256" s="386"/>
      <c r="V256" s="386"/>
      <c r="W256" s="386"/>
      <c r="X256" s="386"/>
    </row>
    <row r="257" spans="2:24" s="273" customFormat="1" x14ac:dyDescent="0.25">
      <c r="B257" s="277"/>
      <c r="F257" s="386"/>
      <c r="G257" s="386"/>
      <c r="H257" s="386"/>
      <c r="I257" s="386"/>
      <c r="J257" s="386"/>
      <c r="K257" s="386"/>
      <c r="L257" s="386"/>
      <c r="M257" s="386"/>
      <c r="N257" s="386"/>
      <c r="O257" s="386"/>
      <c r="P257" s="386"/>
      <c r="Q257" s="386"/>
      <c r="R257" s="386"/>
      <c r="S257" s="386"/>
      <c r="T257" s="386"/>
      <c r="U257" s="386"/>
      <c r="V257" s="386"/>
      <c r="W257" s="386"/>
      <c r="X257" s="386"/>
    </row>
    <row r="258" spans="2:24" s="273" customFormat="1" x14ac:dyDescent="0.25">
      <c r="B258" s="277"/>
      <c r="F258" s="386"/>
      <c r="G258" s="386"/>
      <c r="H258" s="386"/>
      <c r="I258" s="386"/>
      <c r="J258" s="386"/>
      <c r="K258" s="386"/>
      <c r="L258" s="386"/>
      <c r="M258" s="386"/>
      <c r="N258" s="386"/>
      <c r="O258" s="386"/>
      <c r="P258" s="386"/>
      <c r="Q258" s="386"/>
      <c r="R258" s="386"/>
      <c r="S258" s="386"/>
      <c r="T258" s="386"/>
      <c r="U258" s="386"/>
      <c r="V258" s="386"/>
      <c r="W258" s="386"/>
      <c r="X258" s="386"/>
    </row>
    <row r="259" spans="2:24" s="273" customFormat="1" x14ac:dyDescent="0.25">
      <c r="B259" s="277"/>
      <c r="F259" s="386"/>
      <c r="G259" s="386"/>
      <c r="H259" s="386"/>
      <c r="I259" s="386"/>
      <c r="J259" s="386"/>
      <c r="K259" s="386"/>
      <c r="L259" s="386"/>
      <c r="M259" s="386"/>
      <c r="N259" s="386"/>
      <c r="O259" s="386"/>
      <c r="P259" s="386"/>
      <c r="Q259" s="386"/>
      <c r="R259" s="386"/>
      <c r="S259" s="386"/>
      <c r="T259" s="386"/>
      <c r="U259" s="386"/>
      <c r="V259" s="386"/>
      <c r="W259" s="386"/>
      <c r="X259" s="386"/>
    </row>
    <row r="260" spans="2:24" s="273" customFormat="1" x14ac:dyDescent="0.25">
      <c r="B260" s="277"/>
      <c r="F260" s="386"/>
      <c r="G260" s="386"/>
      <c r="H260" s="386"/>
      <c r="I260" s="386"/>
      <c r="J260" s="386"/>
      <c r="K260" s="386"/>
      <c r="L260" s="386"/>
      <c r="M260" s="386"/>
      <c r="N260" s="386"/>
      <c r="O260" s="386"/>
      <c r="P260" s="386"/>
      <c r="Q260" s="386"/>
      <c r="R260" s="386"/>
      <c r="S260" s="386"/>
      <c r="T260" s="386"/>
      <c r="U260" s="386"/>
      <c r="V260" s="386"/>
      <c r="W260" s="386"/>
      <c r="X260" s="386"/>
    </row>
    <row r="261" spans="2:24" s="273" customFormat="1" x14ac:dyDescent="0.25">
      <c r="B261" s="277"/>
      <c r="F261" s="386"/>
      <c r="G261" s="386"/>
      <c r="H261" s="386"/>
      <c r="I261" s="386"/>
      <c r="J261" s="386"/>
      <c r="K261" s="386"/>
      <c r="L261" s="386"/>
      <c r="M261" s="386"/>
      <c r="N261" s="386"/>
      <c r="O261" s="386"/>
      <c r="P261" s="386"/>
      <c r="Q261" s="386"/>
      <c r="R261" s="386"/>
      <c r="S261" s="386"/>
      <c r="T261" s="386"/>
      <c r="U261" s="386"/>
      <c r="V261" s="386"/>
      <c r="W261" s="386"/>
      <c r="X261" s="386"/>
    </row>
    <row r="262" spans="2:24" s="273" customFormat="1" x14ac:dyDescent="0.25">
      <c r="B262" s="277"/>
      <c r="F262" s="386"/>
      <c r="G262" s="386"/>
      <c r="H262" s="386"/>
      <c r="I262" s="386"/>
      <c r="J262" s="386"/>
      <c r="K262" s="386"/>
      <c r="L262" s="386"/>
      <c r="M262" s="386"/>
      <c r="N262" s="386"/>
      <c r="O262" s="386"/>
      <c r="P262" s="386"/>
      <c r="Q262" s="386"/>
      <c r="R262" s="386"/>
      <c r="S262" s="386"/>
      <c r="T262" s="386"/>
      <c r="U262" s="386"/>
      <c r="V262" s="386"/>
      <c r="W262" s="386"/>
      <c r="X262" s="386"/>
    </row>
    <row r="263" spans="2:24" s="273" customFormat="1" x14ac:dyDescent="0.25">
      <c r="B263" s="277"/>
      <c r="F263" s="386"/>
      <c r="G263" s="386"/>
      <c r="H263" s="386"/>
      <c r="I263" s="386"/>
      <c r="J263" s="386"/>
      <c r="K263" s="386"/>
      <c r="L263" s="386"/>
      <c r="M263" s="386"/>
      <c r="N263" s="386"/>
      <c r="O263" s="386"/>
      <c r="P263" s="386"/>
      <c r="Q263" s="386"/>
      <c r="R263" s="386"/>
      <c r="S263" s="386"/>
      <c r="T263" s="386"/>
      <c r="U263" s="386"/>
      <c r="V263" s="386"/>
      <c r="W263" s="386"/>
      <c r="X263" s="386"/>
    </row>
    <row r="264" spans="2:24" s="273" customFormat="1" x14ac:dyDescent="0.25">
      <c r="B264" s="277"/>
      <c r="F264" s="386"/>
      <c r="G264" s="386"/>
      <c r="H264" s="386"/>
      <c r="I264" s="386"/>
      <c r="J264" s="386"/>
      <c r="K264" s="386"/>
      <c r="L264" s="386"/>
      <c r="M264" s="386"/>
      <c r="N264" s="386"/>
      <c r="O264" s="386"/>
      <c r="P264" s="386"/>
      <c r="Q264" s="386"/>
      <c r="R264" s="386"/>
      <c r="S264" s="386"/>
      <c r="T264" s="386"/>
      <c r="U264" s="386"/>
      <c r="V264" s="386"/>
      <c r="W264" s="386"/>
      <c r="X264" s="386"/>
    </row>
    <row r="265" spans="2:24" s="273" customFormat="1" x14ac:dyDescent="0.25">
      <c r="B265" s="277"/>
      <c r="F265" s="386"/>
      <c r="G265" s="386"/>
      <c r="H265" s="386"/>
      <c r="I265" s="386"/>
      <c r="J265" s="386"/>
      <c r="K265" s="386"/>
      <c r="L265" s="386"/>
      <c r="M265" s="386"/>
      <c r="N265" s="386"/>
      <c r="O265" s="386"/>
      <c r="P265" s="386"/>
      <c r="Q265" s="386"/>
      <c r="R265" s="386"/>
      <c r="S265" s="386"/>
      <c r="T265" s="386"/>
      <c r="U265" s="386"/>
      <c r="V265" s="386"/>
      <c r="W265" s="386"/>
      <c r="X265" s="386"/>
    </row>
    <row r="266" spans="2:24" s="273" customFormat="1" x14ac:dyDescent="0.25">
      <c r="B266" s="277"/>
      <c r="F266" s="386"/>
      <c r="G266" s="386"/>
      <c r="H266" s="386"/>
      <c r="I266" s="386"/>
      <c r="J266" s="386"/>
      <c r="K266" s="386"/>
      <c r="L266" s="386"/>
      <c r="M266" s="386"/>
      <c r="N266" s="386"/>
      <c r="O266" s="386"/>
      <c r="P266" s="386"/>
      <c r="Q266" s="386"/>
      <c r="R266" s="386"/>
      <c r="S266" s="386"/>
      <c r="T266" s="386"/>
      <c r="U266" s="386"/>
      <c r="V266" s="386"/>
      <c r="W266" s="386"/>
      <c r="X266" s="386"/>
    </row>
    <row r="267" spans="2:24" s="273" customFormat="1" x14ac:dyDescent="0.25">
      <c r="B267" s="277"/>
      <c r="F267" s="386"/>
      <c r="G267" s="386"/>
      <c r="H267" s="386"/>
      <c r="I267" s="386"/>
      <c r="J267" s="386"/>
      <c r="K267" s="386"/>
      <c r="L267" s="386"/>
      <c r="M267" s="386"/>
      <c r="N267" s="386"/>
      <c r="O267" s="386"/>
      <c r="P267" s="386"/>
      <c r="Q267" s="386"/>
      <c r="R267" s="386"/>
      <c r="S267" s="386"/>
      <c r="T267" s="386"/>
      <c r="U267" s="386"/>
      <c r="V267" s="386"/>
      <c r="W267" s="386"/>
      <c r="X267" s="386"/>
    </row>
    <row r="268" spans="2:24" s="273" customFormat="1" x14ac:dyDescent="0.25">
      <c r="B268" s="277"/>
      <c r="F268" s="386"/>
      <c r="G268" s="386"/>
      <c r="H268" s="386"/>
      <c r="I268" s="386"/>
      <c r="J268" s="386"/>
      <c r="K268" s="386"/>
      <c r="L268" s="386"/>
      <c r="M268" s="386"/>
      <c r="N268" s="386"/>
      <c r="O268" s="386"/>
      <c r="P268" s="386"/>
      <c r="Q268" s="386"/>
      <c r="R268" s="386"/>
      <c r="S268" s="386"/>
      <c r="T268" s="386"/>
      <c r="U268" s="386"/>
      <c r="V268" s="386"/>
      <c r="W268" s="386"/>
      <c r="X268" s="386"/>
    </row>
    <row r="269" spans="2:24" s="273" customFormat="1" x14ac:dyDescent="0.25">
      <c r="B269" s="277"/>
      <c r="F269" s="386"/>
      <c r="G269" s="386"/>
      <c r="H269" s="386"/>
      <c r="I269" s="386"/>
      <c r="J269" s="386"/>
      <c r="K269" s="386"/>
      <c r="L269" s="386"/>
      <c r="M269" s="386"/>
      <c r="N269" s="386"/>
      <c r="O269" s="386"/>
      <c r="P269" s="386"/>
      <c r="Q269" s="386"/>
      <c r="R269" s="386"/>
      <c r="S269" s="386"/>
      <c r="T269" s="386"/>
      <c r="U269" s="386"/>
      <c r="V269" s="386"/>
      <c r="W269" s="386"/>
      <c r="X269" s="386"/>
    </row>
    <row r="270" spans="2:24" s="273" customFormat="1" x14ac:dyDescent="0.25">
      <c r="B270" s="277"/>
      <c r="F270" s="386"/>
      <c r="G270" s="386"/>
      <c r="H270" s="386"/>
      <c r="I270" s="386"/>
      <c r="J270" s="386"/>
      <c r="K270" s="386"/>
      <c r="L270" s="386"/>
      <c r="M270" s="386"/>
      <c r="N270" s="386"/>
      <c r="O270" s="386"/>
      <c r="P270" s="386"/>
      <c r="Q270" s="386"/>
      <c r="R270" s="386"/>
      <c r="S270" s="386"/>
      <c r="T270" s="386"/>
      <c r="U270" s="386"/>
      <c r="V270" s="386"/>
      <c r="W270" s="386"/>
      <c r="X270" s="386"/>
    </row>
    <row r="271" spans="2:24" s="273" customFormat="1" x14ac:dyDescent="0.25">
      <c r="B271" s="277"/>
      <c r="F271" s="386"/>
      <c r="G271" s="386"/>
      <c r="H271" s="386"/>
      <c r="I271" s="386"/>
      <c r="J271" s="386"/>
      <c r="K271" s="386"/>
      <c r="L271" s="386"/>
      <c r="M271" s="386"/>
      <c r="N271" s="386"/>
      <c r="O271" s="386"/>
      <c r="P271" s="386"/>
      <c r="Q271" s="386"/>
      <c r="R271" s="386"/>
      <c r="S271" s="386"/>
      <c r="T271" s="386"/>
      <c r="U271" s="386"/>
      <c r="V271" s="386"/>
      <c r="W271" s="386"/>
      <c r="X271" s="386"/>
    </row>
    <row r="272" spans="2:24" s="273" customFormat="1" x14ac:dyDescent="0.25">
      <c r="B272" s="277"/>
      <c r="F272" s="386"/>
      <c r="G272" s="386"/>
      <c r="H272" s="386"/>
      <c r="I272" s="386"/>
      <c r="J272" s="386"/>
      <c r="K272" s="386"/>
      <c r="L272" s="386"/>
      <c r="M272" s="386"/>
      <c r="N272" s="386"/>
      <c r="O272" s="386"/>
      <c r="P272" s="386"/>
      <c r="Q272" s="386"/>
      <c r="R272" s="386"/>
      <c r="S272" s="386"/>
      <c r="T272" s="386"/>
      <c r="U272" s="386"/>
      <c r="V272" s="386"/>
      <c r="W272" s="386"/>
      <c r="X272" s="386"/>
    </row>
    <row r="273" spans="2:24" s="273" customFormat="1" x14ac:dyDescent="0.25">
      <c r="B273" s="277"/>
      <c r="F273" s="386"/>
      <c r="G273" s="386"/>
      <c r="H273" s="386"/>
      <c r="I273" s="386"/>
      <c r="J273" s="386"/>
      <c r="K273" s="386"/>
      <c r="L273" s="386"/>
      <c r="M273" s="386"/>
      <c r="N273" s="386"/>
      <c r="O273" s="386"/>
      <c r="P273" s="386"/>
      <c r="Q273" s="386"/>
      <c r="R273" s="386"/>
      <c r="S273" s="386"/>
      <c r="T273" s="386"/>
      <c r="U273" s="386"/>
      <c r="V273" s="386"/>
      <c r="W273" s="386"/>
      <c r="X273" s="386"/>
    </row>
    <row r="274" spans="2:24" s="273" customFormat="1" x14ac:dyDescent="0.25">
      <c r="B274" s="277"/>
      <c r="F274" s="386"/>
      <c r="G274" s="386"/>
      <c r="H274" s="386"/>
      <c r="I274" s="386"/>
      <c r="J274" s="386"/>
      <c r="K274" s="386"/>
      <c r="L274" s="386"/>
      <c r="M274" s="386"/>
      <c r="N274" s="386"/>
      <c r="O274" s="386"/>
      <c r="P274" s="386"/>
      <c r="Q274" s="386"/>
      <c r="R274" s="386"/>
      <c r="S274" s="386"/>
      <c r="T274" s="386"/>
      <c r="U274" s="386"/>
      <c r="V274" s="386"/>
      <c r="W274" s="386"/>
      <c r="X274" s="386"/>
    </row>
    <row r="275" spans="2:24" s="273" customFormat="1" x14ac:dyDescent="0.25">
      <c r="B275" s="277"/>
      <c r="F275" s="386"/>
      <c r="G275" s="386"/>
      <c r="H275" s="386"/>
      <c r="I275" s="386"/>
      <c r="J275" s="386"/>
      <c r="K275" s="386"/>
      <c r="L275" s="386"/>
      <c r="M275" s="386"/>
      <c r="N275" s="386"/>
      <c r="O275" s="386"/>
      <c r="P275" s="386"/>
      <c r="Q275" s="386"/>
      <c r="R275" s="386"/>
      <c r="S275" s="386"/>
      <c r="T275" s="386"/>
      <c r="U275" s="386"/>
      <c r="V275" s="386"/>
      <c r="W275" s="386"/>
      <c r="X275" s="386"/>
    </row>
    <row r="276" spans="2:24" s="273" customFormat="1" x14ac:dyDescent="0.25">
      <c r="B276" s="277"/>
      <c r="F276" s="386"/>
      <c r="G276" s="386"/>
      <c r="H276" s="386"/>
      <c r="I276" s="386"/>
      <c r="J276" s="386"/>
      <c r="K276" s="386"/>
      <c r="L276" s="386"/>
      <c r="M276" s="386"/>
      <c r="N276" s="386"/>
      <c r="O276" s="386"/>
      <c r="P276" s="386"/>
      <c r="Q276" s="386"/>
      <c r="R276" s="386"/>
      <c r="S276" s="386"/>
      <c r="T276" s="386"/>
      <c r="U276" s="386"/>
      <c r="V276" s="386"/>
      <c r="W276" s="386"/>
      <c r="X276" s="386"/>
    </row>
    <row r="277" spans="2:24" s="273" customFormat="1" x14ac:dyDescent="0.25">
      <c r="B277" s="277"/>
      <c r="F277" s="386"/>
      <c r="G277" s="386"/>
      <c r="H277" s="386"/>
      <c r="I277" s="386"/>
      <c r="J277" s="386"/>
      <c r="K277" s="386"/>
      <c r="L277" s="386"/>
      <c r="M277" s="386"/>
      <c r="N277" s="386"/>
      <c r="O277" s="386"/>
      <c r="P277" s="386"/>
      <c r="Q277" s="386"/>
      <c r="R277" s="386"/>
      <c r="S277" s="386"/>
      <c r="T277" s="386"/>
      <c r="U277" s="386"/>
      <c r="V277" s="386"/>
      <c r="W277" s="386"/>
      <c r="X277" s="386"/>
    </row>
    <row r="278" spans="2:24" s="273" customFormat="1" x14ac:dyDescent="0.25">
      <c r="B278" s="277"/>
      <c r="F278" s="386"/>
      <c r="G278" s="386"/>
      <c r="H278" s="386"/>
      <c r="I278" s="386"/>
      <c r="J278" s="386"/>
      <c r="K278" s="386"/>
      <c r="L278" s="386"/>
      <c r="M278" s="386"/>
      <c r="N278" s="386"/>
      <c r="O278" s="386"/>
      <c r="P278" s="386"/>
      <c r="Q278" s="386"/>
      <c r="R278" s="386"/>
      <c r="S278" s="386"/>
      <c r="T278" s="386"/>
      <c r="U278" s="386"/>
      <c r="V278" s="386"/>
      <c r="W278" s="386"/>
      <c r="X278" s="386"/>
    </row>
    <row r="279" spans="2:24" s="273" customFormat="1" x14ac:dyDescent="0.25">
      <c r="B279" s="277"/>
      <c r="F279" s="386"/>
      <c r="G279" s="386"/>
      <c r="H279" s="386"/>
      <c r="I279" s="386"/>
      <c r="J279" s="386"/>
      <c r="K279" s="386"/>
      <c r="L279" s="386"/>
      <c r="M279" s="386"/>
      <c r="N279" s="386"/>
      <c r="O279" s="386"/>
      <c r="P279" s="386"/>
      <c r="Q279" s="386"/>
      <c r="R279" s="386"/>
      <c r="S279" s="386"/>
      <c r="T279" s="386"/>
      <c r="U279" s="386"/>
      <c r="V279" s="386"/>
      <c r="W279" s="386"/>
      <c r="X279" s="386"/>
    </row>
    <row r="280" spans="2:24" s="273" customFormat="1" x14ac:dyDescent="0.25">
      <c r="B280" s="277"/>
      <c r="F280" s="386"/>
      <c r="G280" s="386"/>
      <c r="H280" s="386"/>
      <c r="I280" s="386"/>
      <c r="J280" s="386"/>
      <c r="K280" s="386"/>
      <c r="L280" s="386"/>
      <c r="M280" s="386"/>
      <c r="N280" s="386"/>
      <c r="O280" s="386"/>
      <c r="P280" s="386"/>
      <c r="Q280" s="386"/>
      <c r="R280" s="386"/>
      <c r="S280" s="386"/>
      <c r="T280" s="386"/>
      <c r="U280" s="386"/>
      <c r="V280" s="386"/>
      <c r="W280" s="386"/>
      <c r="X280" s="386"/>
    </row>
    <row r="281" spans="2:24" s="273" customFormat="1" x14ac:dyDescent="0.25">
      <c r="B281" s="277"/>
      <c r="F281" s="386"/>
      <c r="G281" s="386"/>
      <c r="H281" s="386"/>
      <c r="I281" s="386"/>
      <c r="J281" s="386"/>
      <c r="K281" s="386"/>
      <c r="L281" s="386"/>
      <c r="M281" s="386"/>
      <c r="N281" s="386"/>
      <c r="O281" s="386"/>
      <c r="P281" s="386"/>
      <c r="Q281" s="386"/>
      <c r="R281" s="386"/>
      <c r="S281" s="386"/>
      <c r="T281" s="386"/>
      <c r="U281" s="386"/>
      <c r="V281" s="386"/>
      <c r="W281" s="386"/>
      <c r="X281" s="386"/>
    </row>
    <row r="282" spans="2:24" s="273" customFormat="1" x14ac:dyDescent="0.25">
      <c r="B282" s="277"/>
      <c r="F282" s="386"/>
      <c r="G282" s="386"/>
      <c r="H282" s="386"/>
      <c r="I282" s="386"/>
      <c r="J282" s="386"/>
      <c r="K282" s="386"/>
      <c r="L282" s="386"/>
      <c r="M282" s="386"/>
      <c r="N282" s="386"/>
      <c r="O282" s="386"/>
      <c r="P282" s="386"/>
      <c r="Q282" s="386"/>
      <c r="R282" s="386"/>
      <c r="S282" s="386"/>
      <c r="T282" s="386"/>
      <c r="U282" s="386"/>
      <c r="V282" s="386"/>
      <c r="W282" s="386"/>
      <c r="X282" s="386"/>
    </row>
    <row r="283" spans="2:24" s="273" customFormat="1" x14ac:dyDescent="0.25">
      <c r="B283" s="277"/>
      <c r="F283" s="386"/>
      <c r="G283" s="386"/>
      <c r="H283" s="386"/>
      <c r="I283" s="386"/>
      <c r="J283" s="386"/>
      <c r="K283" s="386"/>
      <c r="L283" s="386"/>
      <c r="M283" s="386"/>
      <c r="N283" s="386"/>
      <c r="O283" s="386"/>
      <c r="P283" s="386"/>
      <c r="Q283" s="386"/>
      <c r="R283" s="386"/>
      <c r="S283" s="386"/>
      <c r="T283" s="386"/>
      <c r="U283" s="386"/>
      <c r="V283" s="386"/>
      <c r="W283" s="386"/>
      <c r="X283" s="386"/>
    </row>
    <row r="284" spans="2:24" s="273" customFormat="1" x14ac:dyDescent="0.25">
      <c r="B284" s="277"/>
      <c r="F284" s="386"/>
      <c r="G284" s="386"/>
      <c r="H284" s="386"/>
      <c r="I284" s="386"/>
      <c r="J284" s="386"/>
      <c r="K284" s="386"/>
      <c r="L284" s="386"/>
      <c r="M284" s="386"/>
      <c r="N284" s="386"/>
      <c r="O284" s="386"/>
      <c r="P284" s="386"/>
      <c r="Q284" s="386"/>
      <c r="R284" s="386"/>
      <c r="S284" s="386"/>
      <c r="T284" s="386"/>
      <c r="U284" s="386"/>
      <c r="V284" s="386"/>
      <c r="W284" s="386"/>
      <c r="X284" s="386"/>
    </row>
    <row r="285" spans="2:24" s="273" customFormat="1" x14ac:dyDescent="0.25">
      <c r="B285" s="277"/>
      <c r="F285" s="386"/>
      <c r="G285" s="386"/>
      <c r="H285" s="386"/>
      <c r="I285" s="386"/>
      <c r="J285" s="386"/>
      <c r="K285" s="386"/>
      <c r="L285" s="386"/>
      <c r="M285" s="386"/>
      <c r="N285" s="386"/>
      <c r="O285" s="386"/>
      <c r="P285" s="386"/>
      <c r="Q285" s="386"/>
      <c r="R285" s="386"/>
      <c r="S285" s="386"/>
      <c r="T285" s="386"/>
      <c r="U285" s="386"/>
      <c r="V285" s="386"/>
      <c r="W285" s="386"/>
      <c r="X285" s="386"/>
    </row>
    <row r="286" spans="2:24" s="273" customFormat="1" x14ac:dyDescent="0.25">
      <c r="B286" s="277"/>
      <c r="F286" s="386"/>
      <c r="G286" s="386"/>
      <c r="H286" s="386"/>
      <c r="I286" s="386"/>
      <c r="J286" s="386"/>
      <c r="K286" s="386"/>
      <c r="L286" s="386"/>
      <c r="M286" s="386"/>
      <c r="N286" s="386"/>
      <c r="O286" s="386"/>
      <c r="P286" s="386"/>
      <c r="Q286" s="386"/>
      <c r="R286" s="386"/>
      <c r="S286" s="386"/>
      <c r="T286" s="386"/>
      <c r="U286" s="386"/>
      <c r="V286" s="386"/>
      <c r="W286" s="386"/>
      <c r="X286" s="386"/>
    </row>
    <row r="287" spans="2:24" s="273" customFormat="1" x14ac:dyDescent="0.25">
      <c r="B287" s="277"/>
      <c r="F287" s="386"/>
      <c r="G287" s="386"/>
      <c r="H287" s="386"/>
      <c r="I287" s="386"/>
      <c r="J287" s="386"/>
      <c r="K287" s="386"/>
      <c r="L287" s="386"/>
      <c r="M287" s="386"/>
      <c r="N287" s="386"/>
      <c r="O287" s="386"/>
      <c r="P287" s="386"/>
      <c r="Q287" s="386"/>
      <c r="R287" s="386"/>
      <c r="S287" s="386"/>
      <c r="T287" s="386"/>
      <c r="U287" s="386"/>
      <c r="V287" s="386"/>
      <c r="W287" s="386"/>
      <c r="X287" s="386"/>
    </row>
    <row r="288" spans="2:24" s="273" customFormat="1" x14ac:dyDescent="0.25">
      <c r="B288" s="277"/>
      <c r="F288" s="386"/>
      <c r="G288" s="386"/>
      <c r="H288" s="386"/>
      <c r="I288" s="386"/>
      <c r="J288" s="386"/>
      <c r="K288" s="386"/>
      <c r="L288" s="386"/>
      <c r="M288" s="386"/>
      <c r="N288" s="386"/>
      <c r="O288" s="386"/>
      <c r="P288" s="386"/>
      <c r="Q288" s="386"/>
      <c r="R288" s="386"/>
      <c r="S288" s="386"/>
      <c r="T288" s="386"/>
      <c r="U288" s="386"/>
      <c r="V288" s="386"/>
      <c r="W288" s="386"/>
      <c r="X288" s="386"/>
    </row>
    <row r="289" spans="2:24" s="273" customFormat="1" x14ac:dyDescent="0.25">
      <c r="B289" s="277"/>
      <c r="F289" s="386"/>
      <c r="G289" s="386"/>
      <c r="H289" s="386"/>
      <c r="I289" s="386"/>
      <c r="J289" s="386"/>
      <c r="K289" s="386"/>
      <c r="L289" s="386"/>
      <c r="M289" s="386"/>
      <c r="N289" s="386"/>
      <c r="O289" s="386"/>
      <c r="P289" s="386"/>
      <c r="Q289" s="386"/>
      <c r="R289" s="386"/>
      <c r="S289" s="386"/>
      <c r="T289" s="386"/>
      <c r="U289" s="386"/>
      <c r="V289" s="386"/>
      <c r="W289" s="386"/>
      <c r="X289" s="386"/>
    </row>
    <row r="290" spans="2:24" s="273" customFormat="1" x14ac:dyDescent="0.25">
      <c r="B290" s="277"/>
      <c r="F290" s="386"/>
      <c r="G290" s="386"/>
      <c r="H290" s="386"/>
      <c r="I290" s="386"/>
      <c r="J290" s="386"/>
      <c r="K290" s="386"/>
      <c r="L290" s="386"/>
      <c r="M290" s="386"/>
      <c r="N290" s="386"/>
      <c r="O290" s="386"/>
      <c r="P290" s="386"/>
      <c r="Q290" s="386"/>
      <c r="R290" s="386"/>
      <c r="S290" s="386"/>
      <c r="T290" s="386"/>
      <c r="U290" s="386"/>
      <c r="V290" s="386"/>
      <c r="W290" s="386"/>
      <c r="X290" s="386"/>
    </row>
  </sheetData>
  <sheetProtection algorithmName="SHA-512" hashValue="klxN7l+WYPOQJc4ylsNbUhCRad89IFrv3HgEvK2sAImGFBIFhe3Ws8JMVW+7lkFXMoDRR/DSKT2hWWYcIhnR3w==" saltValue="5BAVx8YEyeGLXwIFOnO7Ng==" spinCount="100000" sheet="1" objects="1" scenarios="1"/>
  <mergeCells count="1">
    <mergeCell ref="G3:I4"/>
  </mergeCells>
  <phoneticPr fontId="0" type="noConversion"/>
  <dataValidations xWindow="792" yWindow="465" count="7">
    <dataValidation type="whole" operator="lessThanOrEqual" allowBlank="1" showInputMessage="1" showErrorMessage="1" sqref="C13:E13" xr:uid="{00000000-0002-0000-0100-000000000000}">
      <formula1>6</formula1>
    </dataValidation>
    <dataValidation type="whole" operator="lessThanOrEqual" allowBlank="1" showInputMessage="1" showErrorMessage="1" sqref="C25:C27" xr:uid="{00000000-0002-0000-0100-000001000000}">
      <formula1>500</formula1>
    </dataValidation>
    <dataValidation type="whole" operator="greaterThanOrEqual" allowBlank="1" showErrorMessage="1" error="Der Mitarbeiter hat in Bezug auf seine  wöchentliche Arbeitszeit einen zu geringen Urlaubsanspruch!" prompt="Auch Teilzeitkräfte haben Anspruch auf Jahresurlaub in Relation zu Vollzeitbeschäftigten! " sqref="D15:E15" xr:uid="{00000000-0002-0000-0100-000002000000}">
      <formula1>24/6*D13</formula1>
    </dataValidation>
    <dataValidation allowBlank="1" showInputMessage="1" showErrorMessage="1" prompt="Bitte nur Feiertage eintragen, die auf einen Arbeitstag fallen und konfessionsbedingte Unterschiede beachten!" sqref="C16:E16" xr:uid="{00000000-0002-0000-0100-000003000000}"/>
    <dataValidation allowBlank="1" showInputMessage="1" showErrorMessage="1" prompt="Bitte nur Ausfallzeiten an Arbeitstagen eintragen!" sqref="C17:E17" xr:uid="{00000000-0002-0000-0100-000004000000}"/>
    <dataValidation type="whole" allowBlank="1" showInputMessage="1" showErrorMessage="1" sqref="C22:E22" xr:uid="{00000000-0002-0000-0100-000005000000}">
      <formula1>50</formula1>
      <formula2>90</formula2>
    </dataValidation>
    <dataValidation type="list" allowBlank="1" showInputMessage="1" showErrorMessage="1" sqref="C3:E3" xr:uid="{00000000-0002-0000-0100-000006000000}">
      <formula1>$A$25:$A$28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cellWatches>
    <cellWatch r="C15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Button 8">
              <controlPr defaultSize="0" print="0" autoFill="0" autoPict="0">
                <anchor moveWithCells="1" sizeWithCells="1">
                  <from>
                    <xdr:col>3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Button 9">
              <controlPr defaultSize="0" print="0" autoFill="0" autoPict="0">
                <anchor moveWithCells="1" sizeWithCells="1">
                  <from>
                    <xdr:col>2</xdr:col>
                    <xdr:colOff>152400</xdr:colOff>
                    <xdr:row>0</xdr:row>
                    <xdr:rowOff>0</xdr:rowOff>
                  </from>
                  <to>
                    <xdr:col>2</xdr:col>
                    <xdr:colOff>1303020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Button 10">
              <controlPr defaultSize="0" print="0" autoFill="0" autoPict="0">
                <anchor moveWithCells="1" sizeWithCells="1">
                  <from>
                    <xdr:col>2</xdr:col>
                    <xdr:colOff>1363980</xdr:colOff>
                    <xdr:row>0</xdr:row>
                    <xdr:rowOff>0</xdr:rowOff>
                  </from>
                  <to>
                    <xdr:col>3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Button 11">
              <controlPr defaultSize="0" print="0" autoFill="0" autoPict="0">
                <anchor moveWithCells="1" sizeWithCells="1">
                  <from>
                    <xdr:col>3</xdr:col>
                    <xdr:colOff>0</xdr:colOff>
                    <xdr:row>0</xdr:row>
                    <xdr:rowOff>0</xdr:rowOff>
                  </from>
                  <to>
                    <xdr:col>3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K61"/>
  <sheetViews>
    <sheetView zoomScaleNormal="100" workbookViewId="0">
      <selection activeCell="G22" sqref="G22"/>
    </sheetView>
  </sheetViews>
  <sheetFormatPr baseColWidth="10" defaultColWidth="11.44140625" defaultRowHeight="15" x14ac:dyDescent="0.25"/>
  <cols>
    <col min="1" max="1" width="48.44140625" style="21" customWidth="1"/>
    <col min="2" max="3" width="19.5546875" style="21" customWidth="1"/>
    <col min="4" max="4" width="12.44140625" style="18" customWidth="1"/>
    <col min="5" max="5" width="12.44140625" style="21" customWidth="1"/>
    <col min="6" max="6" width="12.44140625" style="18" customWidth="1"/>
    <col min="7" max="7" width="21" style="21" customWidth="1"/>
    <col min="8" max="8" width="10.33203125" style="296" bestFit="1" customWidth="1"/>
    <col min="9" max="9" width="11.5546875" style="369" bestFit="1" customWidth="1"/>
    <col min="10" max="10" width="14.6640625" style="369" bestFit="1" customWidth="1"/>
    <col min="11" max="11" width="10.88671875" style="369" customWidth="1"/>
    <col min="12" max="12" width="11" style="401" customWidth="1"/>
    <col min="13" max="13" width="20.88671875" style="369" customWidth="1"/>
    <col min="14" max="14" width="5.44140625" style="402" customWidth="1"/>
    <col min="15" max="15" width="11.44140625" style="402"/>
    <col min="16" max="18" width="11.44140625" style="369"/>
    <col min="19" max="19" width="11.44140625" style="383"/>
    <col min="20" max="37" width="11.44140625" style="369"/>
    <col min="38" max="16384" width="11.44140625" style="21"/>
  </cols>
  <sheetData>
    <row r="1" spans="1:17" ht="38.4" customHeight="1" x14ac:dyDescent="0.25">
      <c r="A1" s="312" t="s">
        <v>76</v>
      </c>
      <c r="B1" s="310"/>
      <c r="C1" s="310"/>
      <c r="D1" s="310"/>
      <c r="E1" s="310"/>
      <c r="F1" s="310"/>
      <c r="G1" s="310"/>
      <c r="H1" s="311"/>
      <c r="I1" s="400"/>
      <c r="O1" s="369"/>
    </row>
    <row r="2" spans="1:17" ht="29.4" customHeight="1" x14ac:dyDescent="0.25">
      <c r="A2" s="335" t="s">
        <v>192</v>
      </c>
      <c r="B2" s="336"/>
      <c r="C2" s="336"/>
      <c r="D2" s="337"/>
      <c r="E2" s="337"/>
      <c r="F2" s="338" t="s">
        <v>77</v>
      </c>
      <c r="G2" s="301">
        <v>1200000</v>
      </c>
      <c r="H2" s="350">
        <v>1</v>
      </c>
      <c r="I2" s="400"/>
      <c r="O2" s="369"/>
    </row>
    <row r="3" spans="1:17" ht="24.75" customHeight="1" x14ac:dyDescent="0.25">
      <c r="A3" s="339" t="s">
        <v>78</v>
      </c>
      <c r="B3" s="340" t="s">
        <v>79</v>
      </c>
      <c r="C3" s="340"/>
      <c r="D3" s="340"/>
      <c r="E3" s="340"/>
      <c r="F3" s="341" t="s">
        <v>77</v>
      </c>
      <c r="G3" s="12">
        <v>60000</v>
      </c>
      <c r="H3" s="297">
        <f>G3/$G$2</f>
        <v>0.05</v>
      </c>
      <c r="I3" s="516" t="s">
        <v>191</v>
      </c>
      <c r="J3" s="513"/>
      <c r="K3" s="513"/>
      <c r="L3" s="400"/>
      <c r="N3" s="369"/>
      <c r="O3" s="401"/>
      <c r="Q3" s="402"/>
    </row>
    <row r="4" spans="1:17" ht="24.75" customHeight="1" x14ac:dyDescent="0.25">
      <c r="A4" s="342"/>
      <c r="B4" s="340" t="s">
        <v>80</v>
      </c>
      <c r="C4" s="340"/>
      <c r="D4" s="340"/>
      <c r="E4" s="340"/>
      <c r="F4" s="341" t="s">
        <v>77</v>
      </c>
      <c r="G4" s="12">
        <v>15000</v>
      </c>
      <c r="H4" s="297">
        <f t="shared" ref="H4:H19" si="0">G4/$G$2</f>
        <v>1.2500000000000001E-2</v>
      </c>
      <c r="I4" s="516"/>
      <c r="J4" s="513"/>
      <c r="K4" s="513"/>
      <c r="L4" s="400"/>
      <c r="N4" s="369"/>
      <c r="O4" s="401"/>
      <c r="Q4" s="402"/>
    </row>
    <row r="5" spans="1:17" ht="24.75" customHeight="1" x14ac:dyDescent="0.25">
      <c r="A5" s="343"/>
      <c r="B5" s="344" t="s">
        <v>183</v>
      </c>
      <c r="C5" s="344"/>
      <c r="D5" s="344"/>
      <c r="E5" s="344"/>
      <c r="F5" s="345" t="s">
        <v>77</v>
      </c>
      <c r="G5" s="349">
        <f>'Soz.-Vers.-Beiträge'!G28</f>
        <v>271.71000000000004</v>
      </c>
      <c r="H5" s="302">
        <f t="shared" si="0"/>
        <v>2.2642500000000004E-4</v>
      </c>
      <c r="I5" s="514"/>
      <c r="J5" s="515"/>
      <c r="K5" s="515"/>
      <c r="L5" s="400"/>
      <c r="N5" s="369"/>
      <c r="O5" s="401"/>
      <c r="Q5" s="402"/>
    </row>
    <row r="6" spans="1:17" ht="24.75" customHeight="1" x14ac:dyDescent="0.25">
      <c r="A6" s="339" t="s">
        <v>188</v>
      </c>
      <c r="B6" s="340" t="s">
        <v>81</v>
      </c>
      <c r="C6" s="340"/>
      <c r="D6" s="340"/>
      <c r="E6" s="340"/>
      <c r="F6" s="341" t="s">
        <v>77</v>
      </c>
      <c r="G6" s="12">
        <v>0</v>
      </c>
      <c r="H6" s="297">
        <f t="shared" si="0"/>
        <v>0</v>
      </c>
      <c r="I6" s="514"/>
      <c r="J6" s="515"/>
      <c r="K6" s="515"/>
      <c r="L6" s="400"/>
      <c r="N6" s="369"/>
      <c r="O6" s="401"/>
      <c r="Q6" s="402"/>
    </row>
    <row r="7" spans="1:17" ht="24.75" customHeight="1" x14ac:dyDescent="0.25">
      <c r="A7" s="346" t="s">
        <v>189</v>
      </c>
      <c r="B7" s="340" t="s">
        <v>82</v>
      </c>
      <c r="C7" s="340"/>
      <c r="D7" s="340"/>
      <c r="E7" s="340"/>
      <c r="F7" s="341" t="s">
        <v>77</v>
      </c>
      <c r="G7" s="12">
        <v>20000</v>
      </c>
      <c r="H7" s="297">
        <f t="shared" si="0"/>
        <v>1.6666666666666666E-2</v>
      </c>
      <c r="I7" s="403"/>
      <c r="N7" s="369"/>
      <c r="O7" s="401"/>
      <c r="Q7" s="402"/>
    </row>
    <row r="8" spans="1:17" ht="24.75" customHeight="1" x14ac:dyDescent="0.25">
      <c r="A8" s="342"/>
      <c r="B8" s="340" t="s">
        <v>83</v>
      </c>
      <c r="C8" s="340"/>
      <c r="D8" s="340"/>
      <c r="E8" s="340"/>
      <c r="F8" s="341" t="s">
        <v>77</v>
      </c>
      <c r="G8" s="12">
        <v>40000</v>
      </c>
      <c r="H8" s="297">
        <f t="shared" si="0"/>
        <v>3.3333333333333333E-2</v>
      </c>
      <c r="I8" s="403"/>
      <c r="N8" s="369"/>
      <c r="O8" s="401"/>
      <c r="Q8" s="402"/>
    </row>
    <row r="9" spans="1:17" ht="24.75" customHeight="1" x14ac:dyDescent="0.25">
      <c r="A9" s="343"/>
      <c r="B9" s="344" t="s">
        <v>173</v>
      </c>
      <c r="C9" s="344"/>
      <c r="D9" s="344"/>
      <c r="E9" s="347">
        <f>'Soz.-Vers.-Beiträge'!G29/100</f>
        <v>1.3000000000000001E-2</v>
      </c>
      <c r="F9" s="345" t="s">
        <v>77</v>
      </c>
      <c r="G9" s="349">
        <f>SUM(G6:G8)*E9</f>
        <v>780.00000000000011</v>
      </c>
      <c r="H9" s="302">
        <f t="shared" si="0"/>
        <v>6.5000000000000008E-4</v>
      </c>
      <c r="I9" s="403"/>
      <c r="N9" s="369"/>
      <c r="O9" s="401"/>
      <c r="Q9" s="402"/>
    </row>
    <row r="10" spans="1:17" ht="24.75" customHeight="1" x14ac:dyDescent="0.25">
      <c r="A10" s="339" t="s">
        <v>84</v>
      </c>
      <c r="B10" s="340" t="s">
        <v>85</v>
      </c>
      <c r="C10" s="348" t="s">
        <v>86</v>
      </c>
      <c r="D10" s="340"/>
      <c r="E10" s="340"/>
      <c r="F10" s="341" t="s">
        <v>77</v>
      </c>
      <c r="G10" s="12">
        <v>3600</v>
      </c>
      <c r="H10" s="297">
        <f t="shared" si="0"/>
        <v>3.0000000000000001E-3</v>
      </c>
      <c r="I10" s="403"/>
      <c r="J10" s="404"/>
      <c r="L10" s="369"/>
      <c r="N10" s="369"/>
      <c r="O10" s="401"/>
      <c r="Q10" s="402"/>
    </row>
    <row r="11" spans="1:17" ht="24.75" customHeight="1" x14ac:dyDescent="0.25">
      <c r="A11" s="342"/>
      <c r="B11" s="340" t="s">
        <v>87</v>
      </c>
      <c r="C11" s="340"/>
      <c r="D11" s="340"/>
      <c r="E11" s="340"/>
      <c r="F11" s="341" t="s">
        <v>77</v>
      </c>
      <c r="G11" s="12">
        <v>1500</v>
      </c>
      <c r="H11" s="297">
        <f t="shared" si="0"/>
        <v>1.25E-3</v>
      </c>
      <c r="I11" s="403"/>
      <c r="J11" s="404"/>
      <c r="L11" s="369"/>
      <c r="N11" s="369"/>
      <c r="O11" s="401"/>
      <c r="Q11" s="402"/>
    </row>
    <row r="12" spans="1:17" ht="24.75" customHeight="1" x14ac:dyDescent="0.25">
      <c r="A12" s="342"/>
      <c r="B12" s="340" t="s">
        <v>88</v>
      </c>
      <c r="C12" s="340"/>
      <c r="D12" s="340"/>
      <c r="E12" s="340"/>
      <c r="F12" s="341" t="s">
        <v>77</v>
      </c>
      <c r="G12" s="12">
        <v>1500</v>
      </c>
      <c r="H12" s="297">
        <f t="shared" si="0"/>
        <v>1.25E-3</v>
      </c>
      <c r="I12" s="403"/>
      <c r="J12" s="403"/>
      <c r="K12" s="404"/>
      <c r="L12" s="400"/>
      <c r="N12" s="369"/>
      <c r="O12" s="401"/>
      <c r="Q12" s="402"/>
    </row>
    <row r="13" spans="1:17" ht="24.75" customHeight="1" x14ac:dyDescent="0.25">
      <c r="A13" s="343"/>
      <c r="B13" s="344" t="s">
        <v>89</v>
      </c>
      <c r="C13" s="344"/>
      <c r="D13" s="344"/>
      <c r="E13" s="344"/>
      <c r="F13" s="345" t="s">
        <v>77</v>
      </c>
      <c r="G13" s="303">
        <v>15000</v>
      </c>
      <c r="H13" s="302">
        <f t="shared" si="0"/>
        <v>1.2500000000000001E-2</v>
      </c>
      <c r="I13" s="403"/>
      <c r="J13" s="403"/>
      <c r="K13" s="404"/>
      <c r="L13" s="400"/>
      <c r="N13" s="369"/>
      <c r="O13" s="401"/>
      <c r="Q13" s="402"/>
    </row>
    <row r="14" spans="1:17" ht="24.75" customHeight="1" x14ac:dyDescent="0.25">
      <c r="A14" s="339" t="s">
        <v>90</v>
      </c>
      <c r="B14" s="340" t="s">
        <v>91</v>
      </c>
      <c r="C14" s="340"/>
      <c r="D14" s="340"/>
      <c r="E14" s="340"/>
      <c r="F14" s="341" t="s">
        <v>77</v>
      </c>
      <c r="G14" s="12">
        <v>22000</v>
      </c>
      <c r="H14" s="297">
        <f t="shared" si="0"/>
        <v>1.8333333333333333E-2</v>
      </c>
      <c r="L14" s="400"/>
      <c r="N14" s="369"/>
      <c r="O14" s="401"/>
      <c r="Q14" s="402"/>
    </row>
    <row r="15" spans="1:17" ht="24.75" customHeight="1" x14ac:dyDescent="0.25">
      <c r="A15" s="342"/>
      <c r="B15" s="340" t="s">
        <v>92</v>
      </c>
      <c r="C15" s="340"/>
      <c r="D15" s="340"/>
      <c r="E15" s="340"/>
      <c r="F15" s="341" t="s">
        <v>77</v>
      </c>
      <c r="G15" s="12">
        <v>15000</v>
      </c>
      <c r="H15" s="297">
        <f t="shared" si="0"/>
        <v>1.2500000000000001E-2</v>
      </c>
      <c r="I15" s="400"/>
      <c r="J15" s="400"/>
      <c r="K15" s="404"/>
      <c r="L15" s="400"/>
      <c r="Q15" s="402"/>
    </row>
    <row r="16" spans="1:17" ht="24.75" customHeight="1" x14ac:dyDescent="0.25">
      <c r="A16" s="342"/>
      <c r="B16" s="340" t="s">
        <v>93</v>
      </c>
      <c r="C16" s="340"/>
      <c r="D16" s="340"/>
      <c r="E16" s="340"/>
      <c r="F16" s="341" t="s">
        <v>77</v>
      </c>
      <c r="G16" s="12">
        <v>5000</v>
      </c>
      <c r="H16" s="297">
        <f t="shared" si="0"/>
        <v>4.1666666666666666E-3</v>
      </c>
      <c r="I16" s="400"/>
      <c r="J16" s="400"/>
      <c r="K16" s="404"/>
      <c r="L16" s="400"/>
      <c r="Q16" s="402"/>
    </row>
    <row r="17" spans="1:19" ht="24.75" customHeight="1" x14ac:dyDescent="0.25">
      <c r="A17" s="342"/>
      <c r="B17" s="340" t="s">
        <v>94</v>
      </c>
      <c r="C17" s="340"/>
      <c r="D17" s="340"/>
      <c r="E17" s="340"/>
      <c r="F17" s="341" t="s">
        <v>77</v>
      </c>
      <c r="G17" s="12">
        <v>6000</v>
      </c>
      <c r="H17" s="297">
        <f t="shared" si="0"/>
        <v>5.0000000000000001E-3</v>
      </c>
      <c r="I17" s="400"/>
      <c r="J17" s="400"/>
      <c r="K17" s="404"/>
      <c r="L17" s="400"/>
      <c r="N17" s="369"/>
      <c r="O17" s="401"/>
      <c r="Q17" s="402"/>
    </row>
    <row r="18" spans="1:19" ht="24.75" customHeight="1" x14ac:dyDescent="0.25">
      <c r="A18" s="342"/>
      <c r="B18" s="340" t="s">
        <v>95</v>
      </c>
      <c r="C18" s="340"/>
      <c r="D18" s="340"/>
      <c r="E18" s="340"/>
      <c r="F18" s="341" t="s">
        <v>77</v>
      </c>
      <c r="G18" s="12">
        <v>0</v>
      </c>
      <c r="H18" s="297">
        <f t="shared" si="0"/>
        <v>0</v>
      </c>
      <c r="I18" s="400"/>
      <c r="J18" s="400"/>
      <c r="K18" s="404"/>
      <c r="L18" s="400"/>
      <c r="M18" s="400"/>
      <c r="N18" s="369"/>
      <c r="O18" s="401"/>
      <c r="Q18" s="402"/>
    </row>
    <row r="19" spans="1:19" ht="24.75" customHeight="1" x14ac:dyDescent="0.25">
      <c r="A19" s="343"/>
      <c r="B19" s="344" t="s">
        <v>172</v>
      </c>
      <c r="C19" s="344"/>
      <c r="D19" s="344"/>
      <c r="E19" s="344"/>
      <c r="F19" s="345" t="s">
        <v>77</v>
      </c>
      <c r="G19" s="303">
        <v>1000</v>
      </c>
      <c r="H19" s="302">
        <f t="shared" si="0"/>
        <v>8.3333333333333339E-4</v>
      </c>
      <c r="I19" s="405"/>
      <c r="J19" s="406"/>
      <c r="K19" s="404"/>
      <c r="L19" s="400"/>
      <c r="N19" s="369"/>
      <c r="O19" s="401"/>
      <c r="Q19" s="402"/>
    </row>
    <row r="20" spans="1:19" ht="24.75" customHeight="1" x14ac:dyDescent="0.25">
      <c r="A20" s="22" t="s">
        <v>96</v>
      </c>
      <c r="B20" s="23"/>
      <c r="C20" s="23"/>
      <c r="D20" s="23"/>
      <c r="E20" s="23"/>
      <c r="F20" s="24" t="s">
        <v>77</v>
      </c>
      <c r="G20" s="25">
        <f>SUM(G3:G19)</f>
        <v>206651.71000000002</v>
      </c>
      <c r="H20" s="298"/>
      <c r="I20" s="400"/>
      <c r="J20" s="400"/>
      <c r="K20" s="404"/>
      <c r="L20" s="400"/>
      <c r="N20" s="369"/>
      <c r="O20" s="401"/>
      <c r="Q20" s="402"/>
    </row>
    <row r="21" spans="1:19" ht="3" customHeight="1" thickBot="1" x14ac:dyDescent="0.3">
      <c r="A21" s="22"/>
      <c r="B21" s="23"/>
      <c r="C21" s="23"/>
      <c r="D21" s="23"/>
      <c r="E21" s="23"/>
      <c r="F21" s="26"/>
      <c r="G21" s="25"/>
      <c r="H21" s="299"/>
      <c r="I21" s="400"/>
      <c r="J21" s="400"/>
      <c r="K21" s="404"/>
      <c r="L21" s="400"/>
      <c r="N21" s="369"/>
      <c r="O21" s="401"/>
      <c r="Q21" s="402"/>
    </row>
    <row r="22" spans="1:19" ht="24.75" customHeight="1" thickBot="1" x14ac:dyDescent="0.3">
      <c r="A22" s="304" t="s">
        <v>193</v>
      </c>
      <c r="B22" s="305"/>
      <c r="C22" s="305"/>
      <c r="D22" s="305"/>
      <c r="E22" s="305"/>
      <c r="F22" s="305"/>
      <c r="G22" s="351" t="s">
        <v>194</v>
      </c>
      <c r="H22" s="309">
        <f>G20/G2</f>
        <v>0.17220975833333335</v>
      </c>
      <c r="I22" s="400"/>
      <c r="J22" s="400"/>
      <c r="K22" s="404"/>
      <c r="L22" s="400"/>
      <c r="N22" s="369"/>
      <c r="O22" s="401"/>
      <c r="Q22" s="402"/>
    </row>
    <row r="23" spans="1:19" s="369" customFormat="1" ht="24.75" customHeight="1" x14ac:dyDescent="0.25">
      <c r="A23" s="400"/>
      <c r="B23" s="400"/>
      <c r="C23" s="400"/>
      <c r="D23" s="400"/>
      <c r="E23" s="400"/>
      <c r="F23" s="409"/>
      <c r="G23" s="410"/>
      <c r="H23" s="411"/>
      <c r="I23" s="400"/>
      <c r="J23" s="400"/>
      <c r="K23" s="404"/>
      <c r="L23" s="400"/>
      <c r="O23" s="401"/>
      <c r="Q23" s="402"/>
      <c r="S23" s="383"/>
    </row>
    <row r="24" spans="1:19" s="369" customFormat="1" x14ac:dyDescent="0.25">
      <c r="D24" s="392"/>
      <c r="F24" s="392"/>
      <c r="H24" s="412"/>
      <c r="L24" s="401"/>
      <c r="N24" s="402"/>
      <c r="R24" s="402"/>
      <c r="S24" s="383"/>
    </row>
    <row r="25" spans="1:19" s="369" customFormat="1" x14ac:dyDescent="0.25">
      <c r="D25" s="392"/>
      <c r="F25" s="392"/>
      <c r="H25" s="412"/>
      <c r="L25" s="401"/>
      <c r="N25" s="402"/>
      <c r="R25" s="402"/>
      <c r="S25" s="383"/>
    </row>
    <row r="26" spans="1:19" s="369" customFormat="1" x14ac:dyDescent="0.25">
      <c r="A26" s="413"/>
      <c r="B26" s="413"/>
      <c r="C26" s="413"/>
      <c r="D26" s="391"/>
      <c r="F26" s="392"/>
      <c r="H26" s="412"/>
      <c r="L26" s="401"/>
      <c r="N26" s="402"/>
      <c r="R26" s="402"/>
      <c r="S26" s="383"/>
    </row>
    <row r="27" spans="1:19" s="369" customFormat="1" ht="15.6" x14ac:dyDescent="0.25">
      <c r="A27" s="414"/>
      <c r="B27" s="414"/>
      <c r="C27" s="414"/>
      <c r="D27" s="391"/>
      <c r="F27" s="392"/>
      <c r="H27" s="412"/>
      <c r="K27" s="400"/>
      <c r="L27" s="401"/>
      <c r="N27" s="402"/>
      <c r="R27" s="402"/>
      <c r="S27" s="383"/>
    </row>
    <row r="28" spans="1:19" s="369" customFormat="1" x14ac:dyDescent="0.25">
      <c r="A28" s="414"/>
      <c r="B28" s="414"/>
      <c r="C28" s="414"/>
      <c r="D28" s="391"/>
      <c r="F28" s="392"/>
      <c r="H28" s="412"/>
      <c r="L28" s="401"/>
      <c r="N28" s="402"/>
      <c r="R28" s="402"/>
      <c r="S28" s="383"/>
    </row>
    <row r="29" spans="1:19" s="369" customFormat="1" x14ac:dyDescent="0.25">
      <c r="A29" s="413"/>
      <c r="B29" s="413"/>
      <c r="C29" s="413"/>
      <c r="D29" s="391"/>
      <c r="F29" s="392"/>
      <c r="H29" s="412"/>
      <c r="L29" s="401"/>
      <c r="N29" s="402"/>
      <c r="R29" s="402"/>
      <c r="S29" s="383"/>
    </row>
    <row r="30" spans="1:19" s="369" customFormat="1" ht="15.6" x14ac:dyDescent="0.25">
      <c r="A30" s="400"/>
      <c r="B30" s="400"/>
      <c r="C30" s="400"/>
      <c r="D30" s="400"/>
      <c r="F30" s="392"/>
      <c r="H30" s="412"/>
      <c r="L30" s="401"/>
      <c r="N30" s="402"/>
      <c r="R30" s="402"/>
      <c r="S30" s="383"/>
    </row>
    <row r="31" spans="1:19" s="369" customFormat="1" x14ac:dyDescent="0.25">
      <c r="A31" s="412"/>
      <c r="B31" s="412"/>
      <c r="C31" s="412"/>
      <c r="D31" s="391"/>
      <c r="F31" s="392"/>
      <c r="H31" s="412"/>
      <c r="L31" s="401"/>
      <c r="N31" s="402"/>
      <c r="R31" s="402"/>
      <c r="S31" s="383"/>
    </row>
    <row r="32" spans="1:19" s="369" customFormat="1" x14ac:dyDescent="0.25">
      <c r="A32" s="412"/>
      <c r="B32" s="412"/>
      <c r="C32" s="412"/>
      <c r="D32" s="391"/>
      <c r="F32" s="392"/>
      <c r="H32" s="412"/>
      <c r="L32" s="401"/>
      <c r="N32" s="402"/>
      <c r="R32" s="402"/>
      <c r="S32" s="383"/>
    </row>
    <row r="33" spans="1:19" s="369" customFormat="1" x14ac:dyDescent="0.25">
      <c r="A33" s="412"/>
      <c r="B33" s="412"/>
      <c r="C33" s="412"/>
      <c r="D33" s="391"/>
      <c r="F33" s="392"/>
      <c r="H33" s="412"/>
      <c r="L33" s="401"/>
      <c r="N33" s="402"/>
      <c r="R33" s="402"/>
      <c r="S33" s="383"/>
    </row>
    <row r="34" spans="1:19" s="369" customFormat="1" x14ac:dyDescent="0.25">
      <c r="A34" s="391"/>
      <c r="B34" s="391"/>
      <c r="C34" s="391"/>
      <c r="D34" s="391"/>
      <c r="F34" s="392"/>
      <c r="H34" s="412"/>
      <c r="L34" s="401"/>
      <c r="N34" s="402"/>
      <c r="R34" s="402"/>
      <c r="S34" s="383"/>
    </row>
    <row r="35" spans="1:19" s="369" customFormat="1" x14ac:dyDescent="0.25">
      <c r="A35" s="391"/>
      <c r="B35" s="391"/>
      <c r="C35" s="391"/>
      <c r="D35" s="391"/>
      <c r="F35" s="392"/>
      <c r="H35" s="412"/>
      <c r="L35" s="401"/>
      <c r="N35" s="402"/>
      <c r="R35" s="402"/>
      <c r="S35" s="383"/>
    </row>
    <row r="36" spans="1:19" s="369" customFormat="1" x14ac:dyDescent="0.25">
      <c r="D36" s="391"/>
      <c r="F36" s="392"/>
      <c r="H36" s="412"/>
      <c r="L36" s="401"/>
      <c r="N36" s="402"/>
      <c r="R36" s="402"/>
      <c r="S36" s="383"/>
    </row>
    <row r="37" spans="1:19" s="369" customFormat="1" x14ac:dyDescent="0.25">
      <c r="D37" s="391"/>
      <c r="F37" s="392"/>
      <c r="H37" s="412"/>
      <c r="L37" s="401"/>
      <c r="N37" s="402"/>
      <c r="R37" s="402"/>
      <c r="S37" s="383"/>
    </row>
    <row r="38" spans="1:19" s="369" customFormat="1" x14ac:dyDescent="0.25">
      <c r="A38" s="391"/>
      <c r="B38" s="391"/>
      <c r="C38" s="391"/>
      <c r="D38" s="392"/>
      <c r="F38" s="392"/>
      <c r="H38" s="412"/>
      <c r="L38" s="401"/>
      <c r="N38" s="402"/>
      <c r="R38" s="402"/>
      <c r="S38" s="383"/>
    </row>
    <row r="39" spans="1:19" s="369" customFormat="1" ht="15.6" x14ac:dyDescent="0.25">
      <c r="A39" s="400"/>
      <c r="B39" s="400"/>
      <c r="C39" s="400"/>
      <c r="D39" s="400"/>
      <c r="F39" s="392"/>
      <c r="H39" s="412"/>
      <c r="L39" s="401"/>
      <c r="N39" s="402"/>
      <c r="R39" s="402"/>
      <c r="S39" s="383"/>
    </row>
    <row r="40" spans="1:19" s="369" customFormat="1" ht="15.6" x14ac:dyDescent="0.25">
      <c r="A40" s="400"/>
      <c r="B40" s="400"/>
      <c r="C40" s="400"/>
      <c r="D40" s="400"/>
      <c r="E40" s="415"/>
      <c r="F40" s="415"/>
      <c r="G40" s="411"/>
      <c r="H40" s="411"/>
      <c r="I40" s="407"/>
      <c r="L40" s="408"/>
      <c r="N40" s="402"/>
      <c r="R40" s="402"/>
      <c r="S40" s="383"/>
    </row>
    <row r="41" spans="1:19" s="369" customFormat="1" x14ac:dyDescent="0.25">
      <c r="D41" s="392"/>
      <c r="F41" s="392"/>
      <c r="H41" s="412"/>
      <c r="L41" s="401"/>
      <c r="N41" s="402"/>
      <c r="Q41" s="402"/>
      <c r="R41" s="402"/>
      <c r="S41" s="383"/>
    </row>
    <row r="42" spans="1:19" s="369" customFormat="1" x14ac:dyDescent="0.25">
      <c r="D42" s="392"/>
      <c r="F42" s="392"/>
      <c r="H42" s="412"/>
      <c r="L42" s="401"/>
      <c r="N42" s="402"/>
      <c r="O42" s="402"/>
      <c r="S42" s="383"/>
    </row>
    <row r="43" spans="1:19" s="369" customFormat="1" x14ac:dyDescent="0.25">
      <c r="D43" s="392"/>
      <c r="F43" s="392"/>
      <c r="H43" s="412"/>
      <c r="L43" s="401"/>
      <c r="N43" s="402"/>
      <c r="O43" s="402"/>
      <c r="S43" s="383"/>
    </row>
    <row r="44" spans="1:19" s="369" customFormat="1" x14ac:dyDescent="0.25">
      <c r="D44" s="392"/>
      <c r="F44" s="392"/>
      <c r="H44" s="412"/>
      <c r="L44" s="401"/>
      <c r="N44" s="402"/>
      <c r="O44" s="402"/>
      <c r="S44" s="383"/>
    </row>
    <row r="45" spans="1:19" s="369" customFormat="1" x14ac:dyDescent="0.25">
      <c r="D45" s="392"/>
      <c r="F45" s="392"/>
      <c r="H45" s="412"/>
      <c r="L45" s="401"/>
      <c r="N45" s="402"/>
      <c r="O45" s="402"/>
      <c r="S45" s="383"/>
    </row>
    <row r="46" spans="1:19" s="369" customFormat="1" x14ac:dyDescent="0.25">
      <c r="D46" s="392"/>
      <c r="F46" s="392"/>
      <c r="H46" s="412"/>
      <c r="L46" s="401"/>
      <c r="N46" s="402"/>
      <c r="O46" s="402"/>
      <c r="S46" s="383"/>
    </row>
    <row r="47" spans="1:19" s="369" customFormat="1" x14ac:dyDescent="0.25">
      <c r="D47" s="392"/>
      <c r="F47" s="392"/>
      <c r="H47" s="412"/>
      <c r="L47" s="401"/>
      <c r="N47" s="402"/>
      <c r="O47" s="402"/>
      <c r="S47" s="383"/>
    </row>
    <row r="48" spans="1:19" s="369" customFormat="1" x14ac:dyDescent="0.25">
      <c r="D48" s="392"/>
      <c r="F48" s="392"/>
      <c r="H48" s="412"/>
      <c r="L48" s="401"/>
      <c r="N48" s="402"/>
      <c r="O48" s="402"/>
      <c r="S48" s="383"/>
    </row>
    <row r="49" spans="4:19" s="369" customFormat="1" x14ac:dyDescent="0.25">
      <c r="D49" s="392"/>
      <c r="F49" s="392"/>
      <c r="H49" s="412"/>
      <c r="L49" s="401"/>
      <c r="N49" s="402"/>
      <c r="O49" s="402"/>
      <c r="S49" s="383"/>
    </row>
    <row r="50" spans="4:19" s="369" customFormat="1" x14ac:dyDescent="0.25">
      <c r="D50" s="392"/>
      <c r="F50" s="392"/>
      <c r="H50" s="412"/>
      <c r="L50" s="401"/>
      <c r="N50" s="402"/>
      <c r="O50" s="402"/>
      <c r="S50" s="383"/>
    </row>
    <row r="51" spans="4:19" s="369" customFormat="1" x14ac:dyDescent="0.25">
      <c r="D51" s="392"/>
      <c r="F51" s="392"/>
      <c r="H51" s="412"/>
      <c r="L51" s="401"/>
      <c r="N51" s="402"/>
      <c r="O51" s="402"/>
      <c r="S51" s="383"/>
    </row>
    <row r="52" spans="4:19" s="369" customFormat="1" x14ac:dyDescent="0.25">
      <c r="D52" s="392"/>
      <c r="F52" s="392"/>
      <c r="H52" s="412"/>
      <c r="L52" s="401"/>
      <c r="N52" s="402"/>
      <c r="O52" s="402"/>
      <c r="S52" s="383"/>
    </row>
    <row r="53" spans="4:19" s="369" customFormat="1" x14ac:dyDescent="0.25">
      <c r="D53" s="392"/>
      <c r="F53" s="392"/>
      <c r="H53" s="412"/>
      <c r="L53" s="401"/>
      <c r="N53" s="402"/>
      <c r="O53" s="402"/>
      <c r="S53" s="383"/>
    </row>
    <row r="54" spans="4:19" s="369" customFormat="1" x14ac:dyDescent="0.25">
      <c r="D54" s="392"/>
      <c r="F54" s="392"/>
      <c r="H54" s="412"/>
      <c r="L54" s="401"/>
      <c r="N54" s="402"/>
      <c r="O54" s="402"/>
      <c r="S54" s="383"/>
    </row>
    <row r="55" spans="4:19" s="369" customFormat="1" x14ac:dyDescent="0.25">
      <c r="D55" s="392"/>
      <c r="F55" s="392"/>
      <c r="H55" s="412"/>
      <c r="L55" s="401"/>
      <c r="N55" s="402"/>
      <c r="O55" s="402"/>
      <c r="S55" s="383"/>
    </row>
    <row r="56" spans="4:19" s="369" customFormat="1" x14ac:dyDescent="0.25">
      <c r="D56" s="392"/>
      <c r="F56" s="392"/>
      <c r="H56" s="412"/>
      <c r="L56" s="401"/>
      <c r="N56" s="402"/>
      <c r="O56" s="402"/>
      <c r="S56" s="383"/>
    </row>
    <row r="57" spans="4:19" s="369" customFormat="1" x14ac:dyDescent="0.25">
      <c r="D57" s="392"/>
      <c r="F57" s="392"/>
      <c r="H57" s="412"/>
      <c r="L57" s="401"/>
      <c r="N57" s="402"/>
      <c r="O57" s="402"/>
      <c r="S57" s="383"/>
    </row>
    <row r="58" spans="4:19" s="369" customFormat="1" x14ac:dyDescent="0.25">
      <c r="D58" s="392"/>
      <c r="F58" s="392"/>
      <c r="H58" s="412"/>
      <c r="L58" s="401"/>
      <c r="N58" s="402"/>
      <c r="O58" s="402"/>
      <c r="S58" s="383"/>
    </row>
    <row r="59" spans="4:19" s="369" customFormat="1" x14ac:dyDescent="0.25">
      <c r="D59" s="392"/>
      <c r="F59" s="392"/>
      <c r="H59" s="412"/>
      <c r="L59" s="401"/>
      <c r="N59" s="402"/>
      <c r="O59" s="402"/>
      <c r="S59" s="383"/>
    </row>
    <row r="60" spans="4:19" s="369" customFormat="1" x14ac:dyDescent="0.25">
      <c r="D60" s="392"/>
      <c r="F60" s="392"/>
      <c r="H60" s="412"/>
      <c r="L60" s="401"/>
      <c r="N60" s="402"/>
      <c r="O60" s="402"/>
      <c r="S60" s="383"/>
    </row>
    <row r="61" spans="4:19" s="369" customFormat="1" x14ac:dyDescent="0.25">
      <c r="D61" s="392"/>
      <c r="F61" s="392"/>
      <c r="H61" s="412"/>
      <c r="L61" s="401"/>
      <c r="N61" s="402"/>
      <c r="O61" s="402"/>
      <c r="S61" s="383"/>
    </row>
  </sheetData>
  <sheetProtection algorithmName="SHA-512" hashValue="x8T69NthP/9XWhF4bvg5dXCTFLwjIGTckEVPhvSUfRpsp0orZN+Sow09zIZjh5MeMOd4xqu4ywBvBfUGFlpN0A==" saltValue="yULYCoF+9AB1MH7ALTAZaA==" spinCount="100000" sheet="1" objects="1" scenarios="1"/>
  <mergeCells count="2">
    <mergeCell ref="I5:K6"/>
    <mergeCell ref="I3:K4"/>
  </mergeCells>
  <phoneticPr fontId="0" type="noConversion"/>
  <dataValidations count="1">
    <dataValidation type="decimal" allowBlank="1" showInputMessage="1" showErrorMessage="1" sqref="H1" xr:uid="{00000000-0002-0000-0200-000000000000}">
      <formula1>0</formula1>
      <formula2>L1</formula2>
    </dataValidation>
  </dataValidations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W50"/>
  <sheetViews>
    <sheetView zoomScaleNormal="100" workbookViewId="0">
      <selection activeCell="C2" sqref="C2"/>
    </sheetView>
  </sheetViews>
  <sheetFormatPr baseColWidth="10" defaultColWidth="11.44140625" defaultRowHeight="13.2" x14ac:dyDescent="0.25"/>
  <cols>
    <col min="1" max="1" width="35.6640625" style="150" customWidth="1"/>
    <col min="2" max="6" width="14.109375" style="150" customWidth="1"/>
    <col min="7" max="13" width="14.109375" style="416" customWidth="1"/>
    <col min="14" max="15" width="12.6640625" style="416" customWidth="1"/>
    <col min="16" max="23" width="11.44140625" style="416"/>
    <col min="24" max="16384" width="11.44140625" style="150"/>
  </cols>
  <sheetData>
    <row r="1" spans="1:16" ht="35.25" customHeight="1" x14ac:dyDescent="0.25">
      <c r="A1" s="146" t="s">
        <v>136</v>
      </c>
      <c r="B1" s="147" t="str">
        <f>Maschinen!G2</f>
        <v>Pflügen mit Packer</v>
      </c>
      <c r="C1" s="148"/>
      <c r="D1" s="148"/>
      <c r="E1" s="148"/>
      <c r="F1" s="149" t="str">
        <f>Gesamtergebnis!C2</f>
        <v>Stunde</v>
      </c>
    </row>
    <row r="2" spans="1:16" ht="27" customHeight="1" x14ac:dyDescent="0.25">
      <c r="A2" s="151"/>
      <c r="B2" s="152" t="s">
        <v>97</v>
      </c>
      <c r="C2" s="17" t="s">
        <v>22</v>
      </c>
      <c r="D2" s="153"/>
      <c r="E2" s="153"/>
      <c r="F2" s="154"/>
    </row>
    <row r="3" spans="1:16" ht="23.25" customHeight="1" x14ac:dyDescent="0.25">
      <c r="A3" s="155" t="s">
        <v>126</v>
      </c>
      <c r="B3" s="156" t="str">
        <f>Maschinen!V12</f>
        <v>Schlepper 130 kW</v>
      </c>
      <c r="C3" s="157"/>
      <c r="D3" s="158" t="s">
        <v>127</v>
      </c>
      <c r="E3" s="156" t="str">
        <f>IF(Personal!C10&gt;0,Personal!C2," ")</f>
        <v>Fritz</v>
      </c>
      <c r="F3" s="159"/>
      <c r="N3" s="521" t="s">
        <v>191</v>
      </c>
      <c r="O3" s="521"/>
      <c r="P3" s="521"/>
    </row>
    <row r="4" spans="1:16" ht="23.25" customHeight="1" x14ac:dyDescent="0.25">
      <c r="A4" s="160"/>
      <c r="B4" s="156" t="str">
        <f>Maschinen!V13</f>
        <v>Pflug 5furchig</v>
      </c>
      <c r="C4" s="157"/>
      <c r="D4" s="157"/>
      <c r="E4" s="156" t="str">
        <f>IF(Personal!D10&gt;0,Personal!D2," ")</f>
        <v xml:space="preserve"> </v>
      </c>
      <c r="F4" s="159"/>
      <c r="N4" s="521"/>
      <c r="O4" s="521"/>
      <c r="P4" s="521"/>
    </row>
    <row r="5" spans="1:16" ht="23.25" customHeight="1" x14ac:dyDescent="0.25">
      <c r="A5" s="160"/>
      <c r="B5" s="156" t="str">
        <f>Maschinen!V14</f>
        <v>Packer 90</v>
      </c>
      <c r="C5" s="157"/>
      <c r="D5" s="157"/>
      <c r="E5" s="156" t="str">
        <f>IF(Personal!E10&gt;0,Personal!E2," ")</f>
        <v xml:space="preserve"> </v>
      </c>
      <c r="F5" s="159"/>
      <c r="N5" s="400"/>
      <c r="O5" s="369"/>
      <c r="P5" s="369"/>
    </row>
    <row r="6" spans="1:16" ht="23.25" customHeight="1" x14ac:dyDescent="0.25">
      <c r="A6" s="160"/>
      <c r="B6" s="156" t="str">
        <f>Maschinen!V15</f>
        <v xml:space="preserve"> </v>
      </c>
      <c r="C6" s="157"/>
      <c r="D6" s="157"/>
      <c r="E6" s="156"/>
      <c r="F6" s="159"/>
    </row>
    <row r="7" spans="1:16" ht="23.25" customHeight="1" x14ac:dyDescent="0.25">
      <c r="A7" s="160"/>
      <c r="B7" s="161" t="str">
        <f>Maschinen!V16</f>
        <v xml:space="preserve"> </v>
      </c>
      <c r="C7" s="157"/>
      <c r="D7" s="157"/>
      <c r="E7" s="156"/>
      <c r="F7" s="159"/>
    </row>
    <row r="8" spans="1:16" ht="30.75" customHeight="1" x14ac:dyDescent="0.25">
      <c r="A8" s="68" t="s">
        <v>128</v>
      </c>
      <c r="B8" s="162"/>
      <c r="C8" s="163" t="s">
        <v>98</v>
      </c>
      <c r="D8" s="163" t="s">
        <v>99</v>
      </c>
      <c r="E8" s="26" t="s">
        <v>100</v>
      </c>
      <c r="F8" s="27" t="s">
        <v>101</v>
      </c>
      <c r="N8" s="515"/>
      <c r="O8" s="515"/>
      <c r="P8" s="515"/>
    </row>
    <row r="9" spans="1:16" ht="27" customHeight="1" x14ac:dyDescent="0.25">
      <c r="A9" s="22"/>
      <c r="B9" s="164" t="s">
        <v>60</v>
      </c>
      <c r="C9" s="13">
        <v>8</v>
      </c>
      <c r="D9" s="14">
        <v>0.5</v>
      </c>
      <c r="E9" s="14">
        <v>1</v>
      </c>
      <c r="F9" s="165">
        <f>SUM(C9:E9)</f>
        <v>9.5</v>
      </c>
      <c r="N9" s="515"/>
      <c r="O9" s="515"/>
      <c r="P9" s="515"/>
    </row>
    <row r="10" spans="1:16" ht="12.75" customHeight="1" x14ac:dyDescent="0.25">
      <c r="A10" s="22"/>
      <c r="B10" s="361" t="s">
        <v>102</v>
      </c>
      <c r="C10" s="362">
        <f>C9/F9</f>
        <v>0.84210526315789469</v>
      </c>
      <c r="D10" s="363">
        <f>D9/F9</f>
        <v>5.2631578947368418E-2</v>
      </c>
      <c r="E10" s="363">
        <f>E9/F9</f>
        <v>0.10526315789473684</v>
      </c>
      <c r="F10" s="364">
        <f>F9/F9</f>
        <v>1</v>
      </c>
      <c r="G10" s="417"/>
      <c r="H10" s="417"/>
      <c r="I10" s="417"/>
      <c r="N10" s="403"/>
      <c r="O10" s="369"/>
      <c r="P10" s="369"/>
    </row>
    <row r="11" spans="1:16" ht="27" customHeight="1" x14ac:dyDescent="0.25">
      <c r="A11" s="22" t="s">
        <v>103</v>
      </c>
      <c r="B11" s="164" t="s">
        <v>24</v>
      </c>
      <c r="C11" s="166">
        <f>SUM(Personal!C23:'Personal'!E23)*C9</f>
        <v>246.96661844206429</v>
      </c>
      <c r="D11" s="167">
        <f>SUM(Personal!C23:'Personal'!E23)*D9</f>
        <v>15.435413652629018</v>
      </c>
      <c r="E11" s="167">
        <f>SUM(Personal!C23:'Personal'!E23)*E9</f>
        <v>30.870827305258036</v>
      </c>
      <c r="F11" s="168">
        <f>SUM(C11:E11)</f>
        <v>293.27285939995136</v>
      </c>
      <c r="G11" s="418"/>
      <c r="H11" s="418"/>
      <c r="N11" s="403"/>
      <c r="O11" s="369"/>
      <c r="P11" s="369"/>
    </row>
    <row r="12" spans="1:16" ht="27" customHeight="1" x14ac:dyDescent="0.25">
      <c r="A12" s="22" t="s">
        <v>104</v>
      </c>
      <c r="B12" s="164" t="s">
        <v>24</v>
      </c>
      <c r="C12" s="169">
        <f>IF(Gesamtergebnis!C2="Stunde",Maschinen!T32*C9,Maschinen!T35*C9)</f>
        <v>567.75521173333345</v>
      </c>
      <c r="D12" s="170"/>
      <c r="E12" s="171">
        <f>E9*Maschinen!T36</f>
        <v>51.050016666666671</v>
      </c>
      <c r="F12" s="172">
        <f>SUM(C12:E12)</f>
        <v>618.80522840000015</v>
      </c>
      <c r="G12" s="419"/>
      <c r="H12" s="419"/>
      <c r="I12" s="419"/>
    </row>
    <row r="13" spans="1:16" ht="27" customHeight="1" x14ac:dyDescent="0.25">
      <c r="A13" s="173" t="s">
        <v>105</v>
      </c>
      <c r="B13" s="164" t="s">
        <v>24</v>
      </c>
      <c r="C13" s="174">
        <f>C12+C11</f>
        <v>814.72183017539771</v>
      </c>
      <c r="D13" s="175">
        <f>D12+D11</f>
        <v>15.435413652629018</v>
      </c>
      <c r="E13" s="175">
        <f>E12+E11</f>
        <v>81.920843971924711</v>
      </c>
      <c r="F13" s="176">
        <f>SUM(F11:F12)</f>
        <v>912.0780877999515</v>
      </c>
      <c r="G13" s="419"/>
      <c r="H13" s="419"/>
      <c r="I13" s="419"/>
    </row>
    <row r="14" spans="1:16" ht="27" customHeight="1" x14ac:dyDescent="0.25">
      <c r="A14" s="22" t="s">
        <v>106</v>
      </c>
      <c r="B14" s="164" t="s">
        <v>7</v>
      </c>
      <c r="C14" s="177">
        <f>Geschäftskosten!$H$22</f>
        <v>0.17220975833333335</v>
      </c>
      <c r="D14" s="20"/>
      <c r="E14" s="20"/>
      <c r="F14" s="178">
        <f>F13*C14</f>
        <v>157.06874708115845</v>
      </c>
    </row>
    <row r="15" spans="1:16" ht="27" customHeight="1" x14ac:dyDescent="0.25">
      <c r="A15" s="22" t="s">
        <v>107</v>
      </c>
      <c r="B15" s="164" t="s">
        <v>7</v>
      </c>
      <c r="C15" s="15">
        <v>1</v>
      </c>
      <c r="D15" s="20"/>
      <c r="E15" s="20"/>
      <c r="F15" s="178">
        <f>F13*C15/100</f>
        <v>9.1207808779995148</v>
      </c>
    </row>
    <row r="16" spans="1:16" ht="27" customHeight="1" x14ac:dyDescent="0.25">
      <c r="A16" s="179" t="s">
        <v>130</v>
      </c>
      <c r="B16" s="164" t="s">
        <v>24</v>
      </c>
      <c r="C16" s="180"/>
      <c r="D16" s="181"/>
      <c r="E16" s="181"/>
      <c r="F16" s="182">
        <f>F15+F14+F13</f>
        <v>1078.2676157591095</v>
      </c>
    </row>
    <row r="17" spans="1:15" ht="27" customHeight="1" x14ac:dyDescent="0.25">
      <c r="A17" s="183" t="s">
        <v>129</v>
      </c>
      <c r="B17" s="164" t="str">
        <f>IF(F1="Hektar","€/ha","€/h")</f>
        <v>€/h</v>
      </c>
      <c r="C17" s="180"/>
      <c r="D17" s="184">
        <f>IF(F1="Hektar",$C$9*$H$28,$C$9)</f>
        <v>8</v>
      </c>
      <c r="E17" s="181" t="str">
        <f>IF(F1="Hektar","ha","h")</f>
        <v>h</v>
      </c>
      <c r="F17" s="178">
        <f>F16/D17</f>
        <v>134.78345196988869</v>
      </c>
    </row>
    <row r="18" spans="1:15" ht="21.75" customHeight="1" x14ac:dyDescent="0.25">
      <c r="A18" s="179" t="s">
        <v>131</v>
      </c>
      <c r="B18" s="164" t="s">
        <v>108</v>
      </c>
      <c r="C18" s="15">
        <v>60</v>
      </c>
      <c r="D18" s="517" t="s">
        <v>109</v>
      </c>
      <c r="E18" s="517"/>
      <c r="F18" s="519">
        <f>C18*C9*H28+C19*C9+C20</f>
        <v>1094.8</v>
      </c>
    </row>
    <row r="19" spans="1:15" ht="21.75" customHeight="1" x14ac:dyDescent="0.25">
      <c r="A19" s="183" t="s">
        <v>132</v>
      </c>
      <c r="B19" s="164" t="s">
        <v>110</v>
      </c>
      <c r="C19" s="15">
        <v>60</v>
      </c>
      <c r="D19" s="517"/>
      <c r="E19" s="517"/>
      <c r="F19" s="519"/>
    </row>
    <row r="20" spans="1:15" ht="21.75" customHeight="1" x14ac:dyDescent="0.25">
      <c r="A20" s="183" t="s">
        <v>133</v>
      </c>
      <c r="B20" s="164" t="s">
        <v>24</v>
      </c>
      <c r="C20" s="16">
        <v>10</v>
      </c>
      <c r="D20" s="518"/>
      <c r="E20" s="518"/>
      <c r="F20" s="520"/>
    </row>
    <row r="21" spans="1:15" ht="27" customHeight="1" x14ac:dyDescent="0.25">
      <c r="A21" s="185" t="str">
        <f>IF(F21&gt;0,"Gewinn","Verlust")</f>
        <v>Gewinn</v>
      </c>
      <c r="B21" s="164" t="s">
        <v>24</v>
      </c>
      <c r="C21" s="180"/>
      <c r="D21" s="184">
        <f>F21/D17</f>
        <v>2.0665480301113064</v>
      </c>
      <c r="E21" s="181" t="str">
        <f>IF(F1="Hektar","€/ha","€/h")</f>
        <v>€/h</v>
      </c>
      <c r="F21" s="182">
        <f>F18-F16</f>
        <v>16.532384240890451</v>
      </c>
    </row>
    <row r="22" spans="1:15" ht="27" customHeight="1" thickBot="1" x14ac:dyDescent="0.3">
      <c r="A22" s="186" t="s">
        <v>111</v>
      </c>
      <c r="B22" s="187" t="str">
        <f>IF(F1="Hektar","ha / h","h / ha")</f>
        <v>h / ha</v>
      </c>
      <c r="C22" s="188"/>
      <c r="D22" s="189"/>
      <c r="E22" s="189"/>
      <c r="F22" s="190">
        <f>IF(F1="Hektar",H28*(H31+H32+H33)/(H36-H30-H34),H28/H30*(H36-H31-H32-H33-H34))</f>
        <v>1.3907194245246106</v>
      </c>
      <c r="O22" s="420">
        <f>(C19-C18)/(2*C18)-(((C19-C18)/2*C18)^2+C19/C18)^0.5</f>
        <v>-1</v>
      </c>
    </row>
    <row r="23" spans="1:15" s="416" customFormat="1" ht="6.75" customHeight="1" x14ac:dyDescent="0.25"/>
    <row r="24" spans="1:15" s="416" customFormat="1" ht="15" customHeight="1" x14ac:dyDescent="0.25"/>
    <row r="25" spans="1:15" s="416" customFormat="1" ht="15" customHeight="1" x14ac:dyDescent="0.25"/>
    <row r="26" spans="1:15" s="416" customFormat="1" ht="15" customHeight="1" x14ac:dyDescent="0.25"/>
    <row r="27" spans="1:15" ht="18" customHeight="1" x14ac:dyDescent="0.25">
      <c r="A27" s="256" t="s">
        <v>112</v>
      </c>
      <c r="B27" s="257" t="s">
        <v>102</v>
      </c>
      <c r="C27" s="257">
        <v>50</v>
      </c>
      <c r="D27" s="257">
        <v>60</v>
      </c>
      <c r="E27" s="257">
        <v>70</v>
      </c>
      <c r="F27" s="257">
        <v>80</v>
      </c>
      <c r="G27" s="257">
        <v>90</v>
      </c>
      <c r="H27" s="425">
        <v>100</v>
      </c>
      <c r="I27" s="430">
        <v>110</v>
      </c>
      <c r="J27" s="257">
        <v>120</v>
      </c>
      <c r="K27" s="257">
        <v>130</v>
      </c>
      <c r="L27" s="257">
        <v>140</v>
      </c>
      <c r="M27" s="258">
        <v>150</v>
      </c>
    </row>
    <row r="28" spans="1:15" ht="18" customHeight="1" x14ac:dyDescent="0.25">
      <c r="A28" s="259" t="s">
        <v>113</v>
      </c>
      <c r="B28" s="191" t="str">
        <f>Maschinen!C8</f>
        <v>ha/h</v>
      </c>
      <c r="C28" s="192">
        <f>C27/100*$H$28</f>
        <v>0.63</v>
      </c>
      <c r="D28" s="192">
        <f>D27/100*$H$28</f>
        <v>0.75600000000000001</v>
      </c>
      <c r="E28" s="192">
        <f>E27/100*$H$28</f>
        <v>0.8819999999999999</v>
      </c>
      <c r="F28" s="192">
        <f>F27/100*$H$28</f>
        <v>1.008</v>
      </c>
      <c r="G28" s="192">
        <f>G27/100*$H$28</f>
        <v>1.1340000000000001</v>
      </c>
      <c r="H28" s="426">
        <f>Maschinen!B8</f>
        <v>1.26</v>
      </c>
      <c r="I28" s="431">
        <f>I27/100*$H$28</f>
        <v>1.3860000000000001</v>
      </c>
      <c r="J28" s="192">
        <f>J27/100*$H$28</f>
        <v>1.512</v>
      </c>
      <c r="K28" s="192">
        <f>K27/100*$H$28</f>
        <v>1.6380000000000001</v>
      </c>
      <c r="L28" s="192">
        <f>L27/100*$H$28</f>
        <v>1.7639999999999998</v>
      </c>
      <c r="M28" s="260">
        <f>M27/100*$H$28</f>
        <v>1.8900000000000001</v>
      </c>
    </row>
    <row r="29" spans="1:15" ht="18" customHeight="1" x14ac:dyDescent="0.25">
      <c r="A29" s="261" t="s">
        <v>104</v>
      </c>
      <c r="B29" s="193" t="str">
        <f>IF(F1="Hektar","€ / ha","€ / h")</f>
        <v>€ / h</v>
      </c>
      <c r="C29" s="194">
        <f t="shared" ref="C29:M29" si="0">C30+C31+C32</f>
        <v>67.39096115000001</v>
      </c>
      <c r="D29" s="194">
        <f t="shared" si="0"/>
        <v>69.382899630000011</v>
      </c>
      <c r="E29" s="194">
        <f t="shared" si="0"/>
        <v>71.374838110000013</v>
      </c>
      <c r="F29" s="194">
        <f t="shared" si="0"/>
        <v>73.366776590000015</v>
      </c>
      <c r="G29" s="194">
        <f t="shared" si="0"/>
        <v>75.358715070000002</v>
      </c>
      <c r="H29" s="427">
        <f>H30+H31+H32</f>
        <v>77.350653550000004</v>
      </c>
      <c r="I29" s="196">
        <f t="shared" si="0"/>
        <v>79.342592030000006</v>
      </c>
      <c r="J29" s="194">
        <f t="shared" si="0"/>
        <v>81.334530510000008</v>
      </c>
      <c r="K29" s="194">
        <f t="shared" si="0"/>
        <v>83.326468990000009</v>
      </c>
      <c r="L29" s="194">
        <f t="shared" si="0"/>
        <v>85.318407470000011</v>
      </c>
      <c r="M29" s="195">
        <f t="shared" si="0"/>
        <v>87.310345950000013</v>
      </c>
    </row>
    <row r="30" spans="1:15" ht="18" customHeight="1" x14ac:dyDescent="0.25">
      <c r="A30" s="262" t="s">
        <v>114</v>
      </c>
      <c r="B30" s="197" t="str">
        <f>B29</f>
        <v>€ / h</v>
      </c>
      <c r="C30" s="198">
        <f>IF($F$1="hektar",$H$30,$H$30*C27/100)</f>
        <v>9.9596923999999998</v>
      </c>
      <c r="D30" s="198">
        <f>IF($F$1="hektar",$H$30,$H$30*D27/100)</f>
        <v>11.95163088</v>
      </c>
      <c r="E30" s="198">
        <f>IF($F$1="hektar",$H$30,$H$30*E27/100)</f>
        <v>13.94356936</v>
      </c>
      <c r="F30" s="198">
        <f>IF($F$1="hektar",$H$30,$H$30*F27/100)</f>
        <v>15.93550784</v>
      </c>
      <c r="G30" s="198">
        <f>IF($F$1="hektar",$H$30,$H$30*G27/100)</f>
        <v>17.927446319999998</v>
      </c>
      <c r="H30" s="428">
        <f>Maschinen!T38</f>
        <v>19.9193848</v>
      </c>
      <c r="I30" s="200">
        <f>IF($F$1="hektar",$H$30,$H$30*I27/100)</f>
        <v>21.911323280000001</v>
      </c>
      <c r="J30" s="198">
        <f>IF($F$1="hektar",$H$30,$H$30*J27/100)</f>
        <v>23.903261759999999</v>
      </c>
      <c r="K30" s="198">
        <f>IF($F$1="hektar",$H$30,$H$30*K27/100)</f>
        <v>25.895200239999998</v>
      </c>
      <c r="L30" s="198">
        <f>IF($F$1="hektar",$H$30,$H$30*L27/100)</f>
        <v>27.887138719999999</v>
      </c>
      <c r="M30" s="199">
        <f>IF($F$1="hektar",$H$30,$H$30*M27/100)</f>
        <v>29.879077200000001</v>
      </c>
    </row>
    <row r="31" spans="1:15" ht="18" customHeight="1" x14ac:dyDescent="0.25">
      <c r="A31" s="262" t="s">
        <v>115</v>
      </c>
      <c r="B31" s="197" t="str">
        <f>B30</f>
        <v>€ / h</v>
      </c>
      <c r="C31" s="198">
        <f>IF($F$1="stunde",$H$31,$H$31/C27*100)</f>
        <v>51.050016666666671</v>
      </c>
      <c r="D31" s="198">
        <f>IF($F$1="stunde",$H$31,$H$31/D27*100)</f>
        <v>51.050016666666671</v>
      </c>
      <c r="E31" s="198">
        <f>IF($F$1="stunde",$H$31,$H$31/E27*100)</f>
        <v>51.050016666666671</v>
      </c>
      <c r="F31" s="198">
        <f>IF($F$1="stunde",$H$31,$H$31/F27*100)</f>
        <v>51.050016666666671</v>
      </c>
      <c r="G31" s="198">
        <f>IF($F$1="stunde",$H$31,$H$31/G27*100)</f>
        <v>51.050016666666671</v>
      </c>
      <c r="H31" s="428">
        <f>Maschinen!T39</f>
        <v>51.050016666666671</v>
      </c>
      <c r="I31" s="200">
        <f>IF($F$1="stunde",$H$31,$H$31/I27*100)</f>
        <v>51.050016666666671</v>
      </c>
      <c r="J31" s="198">
        <f>IF($F$1="stunde",$H$31,$H$31/J27*100)</f>
        <v>51.050016666666671</v>
      </c>
      <c r="K31" s="198">
        <f>IF($F$1="stunde",$H$31,$H$31/K27*100)</f>
        <v>51.050016666666671</v>
      </c>
      <c r="L31" s="198">
        <f>IF($F$1="stunde",$H$31,$H$31/L27*100)</f>
        <v>51.050016666666671</v>
      </c>
      <c r="M31" s="199">
        <f>IF($F$1="stunde",$H$31,$H$31/M27*100)</f>
        <v>51.050016666666671</v>
      </c>
    </row>
    <row r="32" spans="1:15" ht="18" customHeight="1" x14ac:dyDescent="0.25">
      <c r="A32" s="263" t="s">
        <v>116</v>
      </c>
      <c r="B32" s="201" t="str">
        <f>B31</f>
        <v>€ / h</v>
      </c>
      <c r="C32" s="202">
        <f>IF($F$1="stunde",$H$32,$H$32/C27*100)</f>
        <v>6.3812520833333339</v>
      </c>
      <c r="D32" s="202">
        <f>IF($F$1="stunde",$H$32,$H$32/D27*100)</f>
        <v>6.3812520833333339</v>
      </c>
      <c r="E32" s="202">
        <f>IF($F$1="stunde",$H$32,$H$32/E27*100)</f>
        <v>6.3812520833333339</v>
      </c>
      <c r="F32" s="202">
        <f>IF($F$1="stunde",$H$32,$H$32/F27*100)</f>
        <v>6.3812520833333339</v>
      </c>
      <c r="G32" s="202">
        <f>IF($F$1="stunde",$H$32,$H$32/G27*100)</f>
        <v>6.3812520833333339</v>
      </c>
      <c r="H32" s="429">
        <f>E12/D17</f>
        <v>6.3812520833333339</v>
      </c>
      <c r="I32" s="204">
        <f>IF($F$1="stunde",$H$32,$H$32/I27*100)</f>
        <v>6.3812520833333339</v>
      </c>
      <c r="J32" s="202">
        <f>IF($F$1="stunde",$H$32,$H$32/J27*100)</f>
        <v>6.3812520833333339</v>
      </c>
      <c r="K32" s="202">
        <f>IF($F$1="stunde",$H$32,$H$32/K27*100)</f>
        <v>6.3812520833333339</v>
      </c>
      <c r="L32" s="202">
        <f>IF($F$1="stunde",$H$32,$H$32/L27*100)</f>
        <v>6.3812520833333339</v>
      </c>
      <c r="M32" s="203">
        <f>IF($F$1="stunde",$H$32,$H$32/M27*100)</f>
        <v>6.3812520833333339</v>
      </c>
    </row>
    <row r="33" spans="1:23" ht="18" customHeight="1" x14ac:dyDescent="0.25">
      <c r="A33" s="262" t="s">
        <v>103</v>
      </c>
      <c r="B33" s="197" t="str">
        <f>B30</f>
        <v>€ / h</v>
      </c>
      <c r="C33" s="198">
        <f>IF($F$1="Hektar",$H$33*100/C27,$H$33)</f>
        <v>36.65910742499392</v>
      </c>
      <c r="D33" s="198">
        <f>IF($F$1="Hektar",$H$33*100/D27,$H$33)</f>
        <v>36.65910742499392</v>
      </c>
      <c r="E33" s="198">
        <f>IF($F$1="Hektar",$H$33*100/E27,$H$33)</f>
        <v>36.65910742499392</v>
      </c>
      <c r="F33" s="198">
        <f>IF($F$1="Hektar",$H$33*100/F27,$H$33)</f>
        <v>36.65910742499392</v>
      </c>
      <c r="G33" s="198">
        <f>IF($F$1="Hektar",$H$33*100/G27,$H$33)</f>
        <v>36.65910742499392</v>
      </c>
      <c r="H33" s="428">
        <f>F11/D17</f>
        <v>36.65910742499392</v>
      </c>
      <c r="I33" s="200">
        <f>IF($F$1="Hektar",$H$33*100/I27,$H$33)</f>
        <v>36.65910742499392</v>
      </c>
      <c r="J33" s="198">
        <f>IF($F$1="Hektar",$H$33*100/J27,$H$33)</f>
        <v>36.65910742499392</v>
      </c>
      <c r="K33" s="198">
        <f>IF($F$1="Hektar",$H$33*100/K27,$H$33)</f>
        <v>36.65910742499392</v>
      </c>
      <c r="L33" s="198">
        <f>IF($F$1="Hektar",$H$33*100/L27,$H$33)</f>
        <v>36.65910742499392</v>
      </c>
      <c r="M33" s="199">
        <f>IF($F$1="Hektar",$H$33*100/M27,$H$33)</f>
        <v>36.65910742499392</v>
      </c>
    </row>
    <row r="34" spans="1:23" ht="18" customHeight="1" x14ac:dyDescent="0.25">
      <c r="A34" s="262" t="s">
        <v>117</v>
      </c>
      <c r="B34" s="197" t="str">
        <f>B33</f>
        <v>€ / h</v>
      </c>
      <c r="C34" s="198">
        <f>D34</f>
        <v>20.773690994894746</v>
      </c>
      <c r="D34" s="198">
        <f>E34</f>
        <v>20.773690994894746</v>
      </c>
      <c r="E34" s="198">
        <f>F34</f>
        <v>20.773690994894746</v>
      </c>
      <c r="F34" s="198">
        <f>G34</f>
        <v>20.773690994894746</v>
      </c>
      <c r="G34" s="198">
        <f>H34</f>
        <v>20.773690994894746</v>
      </c>
      <c r="H34" s="428">
        <f>(F14+F15)/D17</f>
        <v>20.773690994894746</v>
      </c>
      <c r="I34" s="200">
        <f>H34</f>
        <v>20.773690994894746</v>
      </c>
      <c r="J34" s="198">
        <f>I34</f>
        <v>20.773690994894746</v>
      </c>
      <c r="K34" s="198">
        <f>J34</f>
        <v>20.773690994894746</v>
      </c>
      <c r="L34" s="198">
        <f>K34</f>
        <v>20.773690994894746</v>
      </c>
      <c r="M34" s="199">
        <f>L34</f>
        <v>20.773690994894746</v>
      </c>
    </row>
    <row r="35" spans="1:23" ht="18" customHeight="1" x14ac:dyDescent="0.25">
      <c r="A35" s="262" t="s">
        <v>118</v>
      </c>
      <c r="B35" s="197" t="str">
        <f>B34</f>
        <v>€ / h</v>
      </c>
      <c r="C35" s="198">
        <f>C34+C33+C29</f>
        <v>124.82375956988868</v>
      </c>
      <c r="D35" s="198">
        <f t="shared" ref="D35:M35" si="1">D34+D33+D29</f>
        <v>126.81569804988868</v>
      </c>
      <c r="E35" s="198">
        <f t="shared" si="1"/>
        <v>128.80763652988867</v>
      </c>
      <c r="F35" s="198">
        <f t="shared" si="1"/>
        <v>130.79957500988868</v>
      </c>
      <c r="G35" s="198">
        <f t="shared" si="1"/>
        <v>132.79151348988867</v>
      </c>
      <c r="H35" s="428">
        <f>H34+H33+H29</f>
        <v>134.78345196988869</v>
      </c>
      <c r="I35" s="200">
        <f t="shared" si="1"/>
        <v>136.77539044988868</v>
      </c>
      <c r="J35" s="198">
        <f t="shared" si="1"/>
        <v>138.76732892988866</v>
      </c>
      <c r="K35" s="198">
        <f t="shared" si="1"/>
        <v>140.75926740988868</v>
      </c>
      <c r="L35" s="198">
        <f t="shared" si="1"/>
        <v>142.75120588988869</v>
      </c>
      <c r="M35" s="199">
        <f t="shared" si="1"/>
        <v>144.74314436988868</v>
      </c>
    </row>
    <row r="36" spans="1:23" ht="18" customHeight="1" x14ac:dyDescent="0.25">
      <c r="A36" s="272" t="s">
        <v>119</v>
      </c>
      <c r="B36" s="271" t="str">
        <f>B35</f>
        <v>€ / h</v>
      </c>
      <c r="C36" s="264">
        <f t="shared" ref="C36:G36" si="2">IF($C$2="Hektar",$C$18+$C$19/C28+$C$20/$D$17,$C$19+$C$18*C28+$C$20/$D$17)</f>
        <v>99.05</v>
      </c>
      <c r="D36" s="264">
        <f t="shared" si="2"/>
        <v>106.61</v>
      </c>
      <c r="E36" s="264">
        <f t="shared" si="2"/>
        <v>114.16999999999999</v>
      </c>
      <c r="F36" s="264">
        <f t="shared" si="2"/>
        <v>121.73</v>
      </c>
      <c r="G36" s="264">
        <f t="shared" si="2"/>
        <v>129.29000000000002</v>
      </c>
      <c r="H36" s="255">
        <f>IF($C$2="Hektar",$C$18+$C$19/H28+$C$20/$D$17,$C$19+$C$18*H28+$C$20/$D$17)</f>
        <v>136.85</v>
      </c>
      <c r="I36" s="432">
        <f t="shared" ref="I36:M36" si="3">IF($C$2="Hektar",$C$18+$C$19/I28+$C$20/$D$17,$C$19+$C$18*I28+$C$20/$D$17)</f>
        <v>144.41000000000003</v>
      </c>
      <c r="J36" s="264">
        <f t="shared" si="3"/>
        <v>151.97</v>
      </c>
      <c r="K36" s="264">
        <f t="shared" si="3"/>
        <v>159.53</v>
      </c>
      <c r="L36" s="264">
        <f t="shared" si="3"/>
        <v>167.08999999999997</v>
      </c>
      <c r="M36" s="265">
        <f t="shared" si="3"/>
        <v>174.65</v>
      </c>
    </row>
    <row r="37" spans="1:23" s="31" customFormat="1" ht="30.75" customHeight="1" x14ac:dyDescent="0.25">
      <c r="A37" s="270" t="str">
        <f>IF(F1="Hektar","Gewinn / Verlust pro Hektar", "Gewinn / Verlust pro Stunde")</f>
        <v>Gewinn / Verlust pro Stunde</v>
      </c>
      <c r="B37" s="266" t="str">
        <f>B36</f>
        <v>€ / h</v>
      </c>
      <c r="C37" s="267">
        <f>C36-C35</f>
        <v>-25.773759569888682</v>
      </c>
      <c r="D37" s="267">
        <f t="shared" ref="D37:M37" si="4">D36-D35</f>
        <v>-20.205698049888682</v>
      </c>
      <c r="E37" s="267">
        <f t="shared" si="4"/>
        <v>-14.637636529888681</v>
      </c>
      <c r="F37" s="267">
        <f t="shared" si="4"/>
        <v>-9.0695750098886805</v>
      </c>
      <c r="G37" s="267">
        <f t="shared" si="4"/>
        <v>-3.5015134898886515</v>
      </c>
      <c r="H37" s="268">
        <f t="shared" si="4"/>
        <v>2.0665480301113064</v>
      </c>
      <c r="I37" s="433">
        <f t="shared" si="4"/>
        <v>7.6346095501113496</v>
      </c>
      <c r="J37" s="267">
        <f t="shared" si="4"/>
        <v>13.202671070111336</v>
      </c>
      <c r="K37" s="267">
        <f t="shared" si="4"/>
        <v>18.770732590111322</v>
      </c>
      <c r="L37" s="267">
        <f t="shared" si="4"/>
        <v>24.33879411011128</v>
      </c>
      <c r="M37" s="269">
        <f t="shared" si="4"/>
        <v>29.906855630111323</v>
      </c>
      <c r="N37" s="421"/>
      <c r="O37" s="421"/>
      <c r="P37" s="421"/>
      <c r="Q37" s="421"/>
      <c r="R37" s="421"/>
      <c r="S37" s="421"/>
      <c r="T37" s="421"/>
      <c r="U37" s="421"/>
      <c r="V37" s="421"/>
      <c r="W37" s="421"/>
    </row>
    <row r="38" spans="1:23" s="416" customFormat="1" x14ac:dyDescent="0.25">
      <c r="M38" s="418"/>
    </row>
    <row r="39" spans="1:23" s="416" customFormat="1" x14ac:dyDescent="0.25">
      <c r="I39" s="422"/>
      <c r="M39" s="418"/>
    </row>
    <row r="40" spans="1:23" s="416" customFormat="1" x14ac:dyDescent="0.25">
      <c r="A40" s="424"/>
      <c r="B40" s="423"/>
      <c r="C40" s="423"/>
      <c r="D40" s="423"/>
      <c r="E40" s="423"/>
      <c r="F40" s="423"/>
      <c r="G40" s="423"/>
      <c r="H40" s="423"/>
      <c r="I40" s="423"/>
      <c r="J40" s="423"/>
      <c r="K40" s="423"/>
      <c r="L40" s="423"/>
      <c r="M40" s="418"/>
    </row>
    <row r="41" spans="1:23" s="416" customFormat="1" x14ac:dyDescent="0.25">
      <c r="A41" s="424"/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18"/>
    </row>
    <row r="42" spans="1:23" s="416" customFormat="1" x14ac:dyDescent="0.25">
      <c r="A42" s="424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</row>
    <row r="43" spans="1:23" s="416" customFormat="1" x14ac:dyDescent="0.25"/>
    <row r="44" spans="1:23" s="416" customFormat="1" x14ac:dyDescent="0.25"/>
    <row r="45" spans="1:23" s="416" customFormat="1" x14ac:dyDescent="0.25"/>
    <row r="46" spans="1:23" s="416" customFormat="1" x14ac:dyDescent="0.25"/>
    <row r="47" spans="1:23" s="416" customFormat="1" x14ac:dyDescent="0.25"/>
    <row r="48" spans="1:23" s="416" customFormat="1" x14ac:dyDescent="0.25">
      <c r="H48" s="422"/>
      <c r="I48" s="422"/>
    </row>
    <row r="50" spans="6:6" x14ac:dyDescent="0.25">
      <c r="F50" s="205"/>
    </row>
  </sheetData>
  <sheetProtection algorithmName="SHA-512" hashValue="lqoaS0hvHDMZPoSAm+QwUxgceDHGofNSCr3u5pxDjiRCVNQOkePDYYH6DLIJTmDWrN/J/RF+PXe/2EsU2g0C7Q==" saltValue="3AmlOJE29uhnwBN1q+jJQg==" spinCount="100000" sheet="1" objects="1" scenarios="1"/>
  <mergeCells count="4">
    <mergeCell ref="D18:E20"/>
    <mergeCell ref="F18:F20"/>
    <mergeCell ref="N3:P4"/>
    <mergeCell ref="N8:P9"/>
  </mergeCells>
  <phoneticPr fontId="0" type="noConversion"/>
  <conditionalFormatting sqref="D21">
    <cfRule type="cellIs" dxfId="2" priority="1" stopIfTrue="1" operator="lessThan">
      <formula>0</formula>
    </cfRule>
  </conditionalFormatting>
  <conditionalFormatting sqref="F21">
    <cfRule type="cellIs" dxfId="1" priority="2" stopIfTrue="1" operator="lessThan">
      <formula>0</formula>
    </cfRule>
  </conditionalFormatting>
  <conditionalFormatting sqref="E21 A21:B21">
    <cfRule type="expression" dxfId="0" priority="3" stopIfTrue="1">
      <formula>$D$21&lt;0</formula>
    </cfRule>
  </conditionalFormatting>
  <dataValidations count="1">
    <dataValidation type="list" allowBlank="1" showInputMessage="1" showErrorMessage="1" sqref="C2" xr:uid="{00000000-0002-0000-0300-000000000000}">
      <formula1>"Hektar,Stunde"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H249"/>
  <sheetViews>
    <sheetView workbookViewId="0">
      <selection activeCell="M23" sqref="M23"/>
    </sheetView>
  </sheetViews>
  <sheetFormatPr baseColWidth="10" defaultColWidth="11.44140625" defaultRowHeight="13.2" x14ac:dyDescent="0.25"/>
  <cols>
    <col min="1" max="1" width="1.109375" style="416" customWidth="1"/>
    <col min="2" max="2" width="50.109375" style="206" customWidth="1"/>
    <col min="3" max="3" width="13.33203125" style="206" customWidth="1"/>
    <col min="4" max="4" width="4.33203125" style="206" customWidth="1"/>
    <col min="5" max="5" width="0.6640625" style="206" customWidth="1"/>
    <col min="6" max="6" width="50.109375" style="206" customWidth="1"/>
    <col min="7" max="7" width="13.33203125" style="206" customWidth="1"/>
    <col min="8" max="8" width="4.33203125" style="206" customWidth="1"/>
    <col min="9" max="450" width="11.44140625" style="416"/>
    <col min="451" max="16384" width="11.44140625" style="206"/>
  </cols>
  <sheetData>
    <row r="1" spans="2:12" ht="25.5" customHeight="1" x14ac:dyDescent="0.25">
      <c r="B1" s="449" t="s">
        <v>137</v>
      </c>
      <c r="C1" s="450"/>
      <c r="D1" s="450"/>
      <c r="E1" s="450"/>
      <c r="F1" s="451"/>
      <c r="G1" s="450"/>
      <c r="H1" s="452"/>
    </row>
    <row r="2" spans="2:12" ht="16.95" customHeight="1" x14ac:dyDescent="0.25">
      <c r="B2" s="453" t="s">
        <v>150</v>
      </c>
      <c r="C2" s="454"/>
      <c r="D2" s="455"/>
      <c r="E2" s="421"/>
      <c r="F2" s="456" t="s">
        <v>170</v>
      </c>
      <c r="G2" s="457"/>
      <c r="H2" s="458"/>
      <c r="J2" s="400"/>
      <c r="K2" s="369"/>
      <c r="L2" s="369"/>
    </row>
    <row r="3" spans="2:12" ht="16.95" customHeight="1" x14ac:dyDescent="0.25">
      <c r="B3" s="459"/>
      <c r="C3" s="454"/>
      <c r="D3" s="455"/>
      <c r="E3" s="421"/>
      <c r="F3" s="457"/>
      <c r="G3" s="457"/>
      <c r="H3" s="458"/>
      <c r="J3" s="400"/>
      <c r="K3" s="369"/>
      <c r="L3" s="369"/>
    </row>
    <row r="4" spans="2:12" ht="16.95" customHeight="1" x14ac:dyDescent="0.25">
      <c r="B4" s="459" t="s">
        <v>152</v>
      </c>
      <c r="C4" s="440">
        <v>14.6</v>
      </c>
      <c r="D4" s="455" t="s">
        <v>7</v>
      </c>
      <c r="E4" s="421"/>
      <c r="F4" s="457" t="s">
        <v>138</v>
      </c>
      <c r="G4" s="440">
        <v>14.6</v>
      </c>
      <c r="H4" s="458" t="s">
        <v>7</v>
      </c>
    </row>
    <row r="5" spans="2:12" ht="16.95" customHeight="1" x14ac:dyDescent="0.25">
      <c r="B5" s="459" t="s">
        <v>153</v>
      </c>
      <c r="C5" s="440">
        <v>7.3</v>
      </c>
      <c r="D5" s="455" t="s">
        <v>7</v>
      </c>
      <c r="E5" s="421"/>
      <c r="F5" s="457" t="s">
        <v>139</v>
      </c>
      <c r="G5" s="440">
        <v>18.600000000000001</v>
      </c>
      <c r="H5" s="458" t="s">
        <v>7</v>
      </c>
    </row>
    <row r="6" spans="2:12" ht="16.95" customHeight="1" x14ac:dyDescent="0.25">
      <c r="B6" s="459" t="s">
        <v>139</v>
      </c>
      <c r="C6" s="440">
        <v>18.600000000000001</v>
      </c>
      <c r="D6" s="455" t="s">
        <v>7</v>
      </c>
      <c r="E6" s="421"/>
      <c r="F6" s="457" t="s">
        <v>140</v>
      </c>
      <c r="G6" s="440">
        <v>2.4</v>
      </c>
      <c r="H6" s="458" t="s">
        <v>7</v>
      </c>
      <c r="J6" s="521" t="s">
        <v>191</v>
      </c>
      <c r="K6" s="521"/>
      <c r="L6" s="521"/>
    </row>
    <row r="7" spans="2:12" ht="16.95" customHeight="1" x14ac:dyDescent="0.25">
      <c r="B7" s="459" t="s">
        <v>140</v>
      </c>
      <c r="C7" s="440">
        <v>2.4</v>
      </c>
      <c r="D7" s="455" t="s">
        <v>7</v>
      </c>
      <c r="E7" s="421"/>
      <c r="F7" s="457" t="s">
        <v>141</v>
      </c>
      <c r="G7" s="440">
        <v>3.05</v>
      </c>
      <c r="H7" s="458" t="s">
        <v>7</v>
      </c>
      <c r="J7" s="521"/>
      <c r="K7" s="521"/>
      <c r="L7" s="521"/>
    </row>
    <row r="8" spans="2:12" ht="16.95" customHeight="1" x14ac:dyDescent="0.25">
      <c r="B8" s="459" t="s">
        <v>141</v>
      </c>
      <c r="C8" s="440">
        <v>3.05</v>
      </c>
      <c r="D8" s="455" t="s">
        <v>7</v>
      </c>
      <c r="E8" s="421"/>
      <c r="F8" s="457" t="s">
        <v>147</v>
      </c>
      <c r="G8" s="460">
        <f>SUM(G4:G7)/2</f>
        <v>19.324999999999999</v>
      </c>
      <c r="H8" s="461" t="s">
        <v>7</v>
      </c>
      <c r="J8" s="403"/>
      <c r="K8" s="369"/>
      <c r="L8" s="369"/>
    </row>
    <row r="9" spans="2:12" ht="16.95" customHeight="1" x14ac:dyDescent="0.25">
      <c r="B9" s="459" t="s">
        <v>147</v>
      </c>
      <c r="C9" s="462">
        <f>C5+SUM(C6:C8)/2</f>
        <v>19.324999999999999</v>
      </c>
      <c r="D9" s="454" t="s">
        <v>7</v>
      </c>
      <c r="E9" s="421"/>
      <c r="F9" s="457"/>
      <c r="G9" s="460"/>
      <c r="H9" s="461"/>
      <c r="J9" s="403"/>
      <c r="K9" s="369"/>
      <c r="L9" s="369"/>
    </row>
    <row r="10" spans="2:12" ht="16.95" customHeight="1" x14ac:dyDescent="0.25">
      <c r="B10" s="459"/>
      <c r="C10" s="455"/>
      <c r="D10" s="455"/>
      <c r="E10" s="421"/>
      <c r="F10" s="457"/>
      <c r="G10" s="463"/>
      <c r="H10" s="458"/>
    </row>
    <row r="11" spans="2:12" ht="16.95" customHeight="1" x14ac:dyDescent="0.25">
      <c r="B11" s="459" t="s">
        <v>142</v>
      </c>
      <c r="C11" s="455"/>
      <c r="D11" s="455"/>
      <c r="E11" s="421"/>
      <c r="F11" s="457" t="s">
        <v>142</v>
      </c>
      <c r="G11" s="463"/>
      <c r="H11" s="458"/>
    </row>
    <row r="12" spans="2:12" ht="16.95" customHeight="1" x14ac:dyDescent="0.25">
      <c r="B12" s="459" t="s">
        <v>143</v>
      </c>
      <c r="C12" s="440">
        <v>2.4</v>
      </c>
      <c r="D12" s="455" t="s">
        <v>7</v>
      </c>
      <c r="E12" s="421"/>
      <c r="F12" s="457" t="s">
        <v>143</v>
      </c>
      <c r="G12" s="440">
        <v>2.4</v>
      </c>
      <c r="H12" s="458" t="s">
        <v>7</v>
      </c>
    </row>
    <row r="13" spans="2:12" ht="16.95" customHeight="1" x14ac:dyDescent="0.25">
      <c r="B13" s="459" t="s">
        <v>144</v>
      </c>
      <c r="C13" s="440">
        <v>0.65</v>
      </c>
      <c r="D13" s="455" t="s">
        <v>7</v>
      </c>
      <c r="E13" s="421"/>
      <c r="F13" s="457" t="s">
        <v>144</v>
      </c>
      <c r="G13" s="440">
        <v>0.65</v>
      </c>
      <c r="H13" s="458" t="s">
        <v>7</v>
      </c>
    </row>
    <row r="14" spans="2:12" ht="16.95" customHeight="1" x14ac:dyDescent="0.25">
      <c r="B14" s="459" t="s">
        <v>145</v>
      </c>
      <c r="C14" s="440">
        <v>0.12</v>
      </c>
      <c r="D14" s="455" t="s">
        <v>7</v>
      </c>
      <c r="E14" s="421"/>
      <c r="F14" s="457" t="s">
        <v>145</v>
      </c>
      <c r="G14" s="440">
        <v>0.12</v>
      </c>
      <c r="H14" s="458" t="s">
        <v>7</v>
      </c>
    </row>
    <row r="15" spans="2:12" ht="16.95" customHeight="1" x14ac:dyDescent="0.25">
      <c r="B15" s="459" t="s">
        <v>146</v>
      </c>
      <c r="C15" s="462">
        <f>SUM(C11:C14)</f>
        <v>3.17</v>
      </c>
      <c r="D15" s="454" t="s">
        <v>7</v>
      </c>
      <c r="E15" s="421"/>
      <c r="F15" s="457" t="s">
        <v>146</v>
      </c>
      <c r="G15" s="460">
        <f>SUM(G11:G14)</f>
        <v>3.17</v>
      </c>
      <c r="H15" s="461" t="s">
        <v>7</v>
      </c>
    </row>
    <row r="16" spans="2:12" s="434" customFormat="1" ht="2.4" customHeight="1" x14ac:dyDescent="0.25">
      <c r="B16" s="464"/>
      <c r="C16" s="465">
        <f>C15+C9</f>
        <v>22.494999999999997</v>
      </c>
      <c r="D16" s="372"/>
      <c r="E16" s="372"/>
      <c r="F16" s="372"/>
      <c r="G16" s="465">
        <f>G15+G8</f>
        <v>22.494999999999997</v>
      </c>
      <c r="H16" s="466"/>
    </row>
    <row r="17" spans="2:8" ht="16.95" customHeight="1" x14ac:dyDescent="0.25">
      <c r="B17" s="467" t="s">
        <v>171</v>
      </c>
      <c r="C17" s="468"/>
      <c r="D17" s="469"/>
      <c r="E17" s="421"/>
      <c r="F17" s="470" t="s">
        <v>151</v>
      </c>
      <c r="G17" s="43"/>
      <c r="H17" s="471"/>
    </row>
    <row r="18" spans="2:8" ht="6" customHeight="1" x14ac:dyDescent="0.25">
      <c r="B18" s="472"/>
      <c r="C18" s="468"/>
      <c r="D18" s="469"/>
      <c r="E18" s="421"/>
      <c r="F18" s="43"/>
      <c r="G18" s="43"/>
      <c r="H18" s="471"/>
    </row>
    <row r="19" spans="2:8" ht="16.95" customHeight="1" x14ac:dyDescent="0.25">
      <c r="B19" s="472" t="s">
        <v>138</v>
      </c>
      <c r="C19" s="440">
        <v>13.2</v>
      </c>
      <c r="D19" s="469" t="s">
        <v>7</v>
      </c>
      <c r="E19" s="421"/>
      <c r="F19" s="43"/>
      <c r="G19" s="473"/>
      <c r="H19" s="471"/>
    </row>
    <row r="20" spans="2:8" ht="16.95" customHeight="1" x14ac:dyDescent="0.25">
      <c r="B20" s="472" t="s">
        <v>139</v>
      </c>
      <c r="C20" s="440">
        <v>15</v>
      </c>
      <c r="D20" s="469" t="s">
        <v>7</v>
      </c>
      <c r="E20" s="421"/>
      <c r="F20" s="43"/>
      <c r="G20" s="473"/>
      <c r="H20" s="471"/>
    </row>
    <row r="21" spans="2:8" ht="16.95" customHeight="1" x14ac:dyDescent="0.25">
      <c r="B21" s="472" t="s">
        <v>148</v>
      </c>
      <c r="C21" s="440">
        <v>2</v>
      </c>
      <c r="D21" s="469" t="s">
        <v>7</v>
      </c>
      <c r="E21" s="421"/>
      <c r="F21" s="43" t="s">
        <v>148</v>
      </c>
      <c r="G21" s="440">
        <v>25</v>
      </c>
      <c r="H21" s="471" t="s">
        <v>7</v>
      </c>
    </row>
    <row r="22" spans="2:8" ht="16.95" customHeight="1" x14ac:dyDescent="0.25">
      <c r="B22" s="472" t="s">
        <v>143</v>
      </c>
      <c r="C22" s="440">
        <v>0.6</v>
      </c>
      <c r="D22" s="469" t="s">
        <v>7</v>
      </c>
      <c r="E22" s="421"/>
      <c r="F22" s="43"/>
      <c r="G22" s="473"/>
      <c r="H22" s="471"/>
    </row>
    <row r="23" spans="2:8" ht="16.95" customHeight="1" x14ac:dyDescent="0.25">
      <c r="B23" s="474" t="s">
        <v>149</v>
      </c>
      <c r="C23" s="475">
        <f>SUM(C19:C22)</f>
        <v>30.8</v>
      </c>
      <c r="D23" s="476" t="s">
        <v>7</v>
      </c>
      <c r="E23" s="477"/>
      <c r="F23" s="478"/>
      <c r="G23" s="479"/>
      <c r="H23" s="480"/>
    </row>
    <row r="24" spans="2:8" s="416" customFormat="1" ht="4.8" customHeight="1" x14ac:dyDescent="0.25"/>
    <row r="25" spans="2:8" ht="30" customHeight="1" x14ac:dyDescent="0.25">
      <c r="B25" s="435" t="s">
        <v>184</v>
      </c>
      <c r="C25" s="436"/>
      <c r="D25" s="436"/>
      <c r="E25" s="436"/>
      <c r="F25" s="436"/>
      <c r="G25" s="436"/>
      <c r="H25" s="437"/>
    </row>
    <row r="26" spans="2:8" ht="24" customHeight="1" x14ac:dyDescent="0.25">
      <c r="B26" s="438" t="s">
        <v>174</v>
      </c>
      <c r="C26" s="439"/>
      <c r="D26" s="439" t="s">
        <v>176</v>
      </c>
      <c r="E26" s="439"/>
      <c r="F26" s="439"/>
      <c r="G26" s="440">
        <v>180.71</v>
      </c>
      <c r="H26" s="441" t="s">
        <v>24</v>
      </c>
    </row>
    <row r="27" spans="2:8" ht="24" customHeight="1" x14ac:dyDescent="0.25">
      <c r="B27" s="438"/>
      <c r="C27" s="439"/>
      <c r="D27" s="439" t="s">
        <v>177</v>
      </c>
      <c r="E27" s="439"/>
      <c r="F27" s="439"/>
      <c r="G27" s="300">
        <v>91</v>
      </c>
      <c r="H27" s="442" t="s">
        <v>24</v>
      </c>
    </row>
    <row r="28" spans="2:8" ht="24" customHeight="1" x14ac:dyDescent="0.25">
      <c r="B28" s="438"/>
      <c r="C28" s="439"/>
      <c r="D28" s="439"/>
      <c r="E28" s="439"/>
      <c r="F28" s="439"/>
      <c r="G28" s="443">
        <f>SUM(G26:G27)</f>
        <v>271.71000000000004</v>
      </c>
      <c r="H28" s="441" t="s">
        <v>24</v>
      </c>
    </row>
    <row r="29" spans="2:8" ht="24" customHeight="1" x14ac:dyDescent="0.25">
      <c r="B29" s="438" t="s">
        <v>175</v>
      </c>
      <c r="C29" s="439"/>
      <c r="D29" s="439" t="s">
        <v>178</v>
      </c>
      <c r="E29" s="439"/>
      <c r="F29" s="439"/>
      <c r="G29" s="440">
        <v>1.3</v>
      </c>
      <c r="H29" s="441" t="s">
        <v>7</v>
      </c>
    </row>
    <row r="30" spans="2:8" ht="13.2" customHeight="1" x14ac:dyDescent="0.25">
      <c r="B30" s="438"/>
      <c r="C30" s="439"/>
      <c r="D30" s="439"/>
      <c r="E30" s="439"/>
      <c r="F30" s="439"/>
      <c r="G30" s="328"/>
      <c r="H30" s="441"/>
    </row>
    <row r="31" spans="2:8" x14ac:dyDescent="0.25">
      <c r="B31" s="444" t="s">
        <v>179</v>
      </c>
      <c r="C31" s="328"/>
      <c r="D31" s="328"/>
      <c r="E31" s="328"/>
      <c r="F31" s="328"/>
      <c r="G31" s="328"/>
      <c r="H31" s="445"/>
    </row>
    <row r="32" spans="2:8" x14ac:dyDescent="0.25">
      <c r="B32" s="444" t="s">
        <v>180</v>
      </c>
      <c r="C32" s="328"/>
      <c r="D32" s="328"/>
      <c r="E32" s="328"/>
      <c r="F32" s="328"/>
      <c r="G32" s="328"/>
      <c r="H32" s="445"/>
    </row>
    <row r="33" spans="2:8" x14ac:dyDescent="0.25">
      <c r="B33" s="444" t="s">
        <v>182</v>
      </c>
      <c r="C33" s="328"/>
      <c r="D33" s="328"/>
      <c r="E33" s="328"/>
      <c r="F33" s="328"/>
      <c r="G33" s="328"/>
      <c r="H33" s="445"/>
    </row>
    <row r="34" spans="2:8" x14ac:dyDescent="0.25">
      <c r="B34" s="446" t="s">
        <v>181</v>
      </c>
      <c r="C34" s="447"/>
      <c r="D34" s="447"/>
      <c r="E34" s="447"/>
      <c r="F34" s="447"/>
      <c r="G34" s="447"/>
      <c r="H34" s="448"/>
    </row>
    <row r="35" spans="2:8" s="416" customFormat="1" x14ac:dyDescent="0.25"/>
    <row r="36" spans="2:8" s="416" customFormat="1" x14ac:dyDescent="0.25"/>
    <row r="37" spans="2:8" s="416" customFormat="1" x14ac:dyDescent="0.25"/>
    <row r="38" spans="2:8" s="416" customFormat="1" x14ac:dyDescent="0.25"/>
    <row r="39" spans="2:8" s="416" customFormat="1" x14ac:dyDescent="0.25"/>
    <row r="40" spans="2:8" s="416" customFormat="1" x14ac:dyDescent="0.25"/>
    <row r="41" spans="2:8" s="416" customFormat="1" x14ac:dyDescent="0.25"/>
    <row r="42" spans="2:8" s="416" customFormat="1" x14ac:dyDescent="0.25"/>
    <row r="43" spans="2:8" s="416" customFormat="1" x14ac:dyDescent="0.25"/>
    <row r="44" spans="2:8" s="416" customFormat="1" x14ac:dyDescent="0.25"/>
    <row r="45" spans="2:8" s="416" customFormat="1" x14ac:dyDescent="0.25"/>
    <row r="46" spans="2:8" s="416" customFormat="1" x14ac:dyDescent="0.25"/>
    <row r="47" spans="2:8" s="416" customFormat="1" x14ac:dyDescent="0.25"/>
    <row r="48" spans="2:8" s="416" customFormat="1" x14ac:dyDescent="0.25"/>
    <row r="49" s="416" customFormat="1" x14ac:dyDescent="0.25"/>
    <row r="50" s="416" customFormat="1" x14ac:dyDescent="0.25"/>
    <row r="51" s="416" customFormat="1" x14ac:dyDescent="0.25"/>
    <row r="52" s="416" customFormat="1" x14ac:dyDescent="0.25"/>
    <row r="53" s="416" customFormat="1" x14ac:dyDescent="0.25"/>
    <row r="54" s="416" customFormat="1" x14ac:dyDescent="0.25"/>
    <row r="55" s="416" customFormat="1" x14ac:dyDescent="0.25"/>
    <row r="56" s="416" customFormat="1" x14ac:dyDescent="0.25"/>
    <row r="57" s="416" customFormat="1" x14ac:dyDescent="0.25"/>
    <row r="58" s="416" customFormat="1" x14ac:dyDescent="0.25"/>
    <row r="59" s="416" customFormat="1" x14ac:dyDescent="0.25"/>
    <row r="60" s="416" customFormat="1" x14ac:dyDescent="0.25"/>
    <row r="61" s="416" customFormat="1" x14ac:dyDescent="0.25"/>
    <row r="62" s="416" customFormat="1" x14ac:dyDescent="0.25"/>
    <row r="63" s="416" customFormat="1" x14ac:dyDescent="0.25"/>
    <row r="64" s="416" customFormat="1" x14ac:dyDescent="0.25"/>
    <row r="65" s="416" customFormat="1" x14ac:dyDescent="0.25"/>
    <row r="66" s="416" customFormat="1" x14ac:dyDescent="0.25"/>
    <row r="67" s="416" customFormat="1" x14ac:dyDescent="0.25"/>
    <row r="68" s="416" customFormat="1" x14ac:dyDescent="0.25"/>
    <row r="69" s="416" customFormat="1" x14ac:dyDescent="0.25"/>
    <row r="70" s="416" customFormat="1" x14ac:dyDescent="0.25"/>
    <row r="71" s="416" customFormat="1" x14ac:dyDescent="0.25"/>
    <row r="72" s="416" customFormat="1" x14ac:dyDescent="0.25"/>
    <row r="73" s="416" customFormat="1" x14ac:dyDescent="0.25"/>
    <row r="74" s="416" customFormat="1" x14ac:dyDescent="0.25"/>
    <row r="75" s="416" customFormat="1" x14ac:dyDescent="0.25"/>
    <row r="76" s="416" customFormat="1" x14ac:dyDescent="0.25"/>
    <row r="77" s="416" customFormat="1" x14ac:dyDescent="0.25"/>
    <row r="78" s="416" customFormat="1" x14ac:dyDescent="0.25"/>
    <row r="79" s="416" customFormat="1" x14ac:dyDescent="0.25"/>
    <row r="80" s="416" customFormat="1" x14ac:dyDescent="0.25"/>
    <row r="81" s="416" customFormat="1" x14ac:dyDescent="0.25"/>
    <row r="82" s="416" customFormat="1" x14ac:dyDescent="0.25"/>
    <row r="83" s="416" customFormat="1" x14ac:dyDescent="0.25"/>
    <row r="84" s="416" customFormat="1" x14ac:dyDescent="0.25"/>
    <row r="85" s="416" customFormat="1" x14ac:dyDescent="0.25"/>
    <row r="86" s="416" customFormat="1" x14ac:dyDescent="0.25"/>
    <row r="87" s="416" customFormat="1" x14ac:dyDescent="0.25"/>
    <row r="88" s="416" customFormat="1" x14ac:dyDescent="0.25"/>
    <row r="89" s="416" customFormat="1" x14ac:dyDescent="0.25"/>
    <row r="90" s="416" customFormat="1" x14ac:dyDescent="0.25"/>
    <row r="91" s="416" customFormat="1" x14ac:dyDescent="0.25"/>
    <row r="92" s="416" customFormat="1" x14ac:dyDescent="0.25"/>
    <row r="93" s="416" customFormat="1" x14ac:dyDescent="0.25"/>
    <row r="94" s="416" customFormat="1" x14ac:dyDescent="0.25"/>
    <row r="95" s="416" customFormat="1" x14ac:dyDescent="0.25"/>
    <row r="96" s="416" customFormat="1" x14ac:dyDescent="0.25"/>
    <row r="97" s="416" customFormat="1" x14ac:dyDescent="0.25"/>
    <row r="98" s="416" customFormat="1" x14ac:dyDescent="0.25"/>
    <row r="99" s="416" customFormat="1" x14ac:dyDescent="0.25"/>
    <row r="100" s="416" customFormat="1" x14ac:dyDescent="0.25"/>
    <row r="101" s="416" customFormat="1" x14ac:dyDescent="0.25"/>
    <row r="102" s="416" customFormat="1" x14ac:dyDescent="0.25"/>
    <row r="103" s="416" customFormat="1" x14ac:dyDescent="0.25"/>
    <row r="104" s="416" customFormat="1" x14ac:dyDescent="0.25"/>
    <row r="105" s="416" customFormat="1" x14ac:dyDescent="0.25"/>
    <row r="106" s="416" customFormat="1" x14ac:dyDescent="0.25"/>
    <row r="107" s="416" customFormat="1" x14ac:dyDescent="0.25"/>
    <row r="108" s="416" customFormat="1" x14ac:dyDescent="0.25"/>
    <row r="109" s="416" customFormat="1" x14ac:dyDescent="0.25"/>
    <row r="110" s="416" customFormat="1" x14ac:dyDescent="0.25"/>
    <row r="111" s="416" customFormat="1" x14ac:dyDescent="0.25"/>
    <row r="112" s="416" customFormat="1" x14ac:dyDescent="0.25"/>
    <row r="113" s="416" customFormat="1" x14ac:dyDescent="0.25"/>
    <row r="114" s="416" customFormat="1" x14ac:dyDescent="0.25"/>
    <row r="115" s="416" customFormat="1" x14ac:dyDescent="0.25"/>
    <row r="116" s="416" customFormat="1" x14ac:dyDescent="0.25"/>
    <row r="117" s="416" customFormat="1" x14ac:dyDescent="0.25"/>
    <row r="118" s="416" customFormat="1" x14ac:dyDescent="0.25"/>
    <row r="119" s="416" customFormat="1" x14ac:dyDescent="0.25"/>
    <row r="120" s="416" customFormat="1" x14ac:dyDescent="0.25"/>
    <row r="121" s="416" customFormat="1" x14ac:dyDescent="0.25"/>
    <row r="122" s="416" customFormat="1" x14ac:dyDescent="0.25"/>
    <row r="123" s="416" customFormat="1" x14ac:dyDescent="0.25"/>
    <row r="124" s="416" customFormat="1" x14ac:dyDescent="0.25"/>
    <row r="125" s="416" customFormat="1" x14ac:dyDescent="0.25"/>
    <row r="126" s="416" customFormat="1" x14ac:dyDescent="0.25"/>
    <row r="127" s="416" customFormat="1" x14ac:dyDescent="0.25"/>
    <row r="128" s="416" customFormat="1" x14ac:dyDescent="0.25"/>
    <row r="129" s="416" customFormat="1" x14ac:dyDescent="0.25"/>
    <row r="130" s="416" customFormat="1" x14ac:dyDescent="0.25"/>
    <row r="131" s="416" customFormat="1" x14ac:dyDescent="0.25"/>
    <row r="132" s="416" customFormat="1" x14ac:dyDescent="0.25"/>
    <row r="133" s="416" customFormat="1" x14ac:dyDescent="0.25"/>
    <row r="134" s="416" customFormat="1" x14ac:dyDescent="0.25"/>
    <row r="135" s="416" customFormat="1" x14ac:dyDescent="0.25"/>
    <row r="136" s="416" customFormat="1" x14ac:dyDescent="0.25"/>
    <row r="137" s="416" customFormat="1" x14ac:dyDescent="0.25"/>
    <row r="138" s="416" customFormat="1" x14ac:dyDescent="0.25"/>
    <row r="139" s="416" customFormat="1" x14ac:dyDescent="0.25"/>
    <row r="140" s="416" customFormat="1" x14ac:dyDescent="0.25"/>
    <row r="141" s="416" customFormat="1" x14ac:dyDescent="0.25"/>
    <row r="142" s="416" customFormat="1" x14ac:dyDescent="0.25"/>
    <row r="143" s="416" customFormat="1" x14ac:dyDescent="0.25"/>
    <row r="144" s="416" customFormat="1" x14ac:dyDescent="0.25"/>
    <row r="145" s="416" customFormat="1" x14ac:dyDescent="0.25"/>
    <row r="146" s="416" customFormat="1" x14ac:dyDescent="0.25"/>
    <row r="147" s="416" customFormat="1" x14ac:dyDescent="0.25"/>
    <row r="148" s="416" customFormat="1" x14ac:dyDescent="0.25"/>
    <row r="149" s="416" customFormat="1" x14ac:dyDescent="0.25"/>
    <row r="150" s="416" customFormat="1" x14ac:dyDescent="0.25"/>
    <row r="151" s="416" customFormat="1" x14ac:dyDescent="0.25"/>
    <row r="152" s="416" customFormat="1" x14ac:dyDescent="0.25"/>
    <row r="153" s="416" customFormat="1" x14ac:dyDescent="0.25"/>
    <row r="154" s="416" customFormat="1" x14ac:dyDescent="0.25"/>
    <row r="155" s="416" customFormat="1" x14ac:dyDescent="0.25"/>
    <row r="156" s="416" customFormat="1" x14ac:dyDescent="0.25"/>
    <row r="157" s="416" customFormat="1" x14ac:dyDescent="0.25"/>
    <row r="158" s="416" customFormat="1" x14ac:dyDescent="0.25"/>
    <row r="159" s="416" customFormat="1" x14ac:dyDescent="0.25"/>
    <row r="160" s="416" customFormat="1" x14ac:dyDescent="0.25"/>
    <row r="161" s="416" customFormat="1" x14ac:dyDescent="0.25"/>
    <row r="162" s="416" customFormat="1" x14ac:dyDescent="0.25"/>
    <row r="163" s="416" customFormat="1" x14ac:dyDescent="0.25"/>
    <row r="164" s="416" customFormat="1" x14ac:dyDescent="0.25"/>
    <row r="165" s="416" customFormat="1" x14ac:dyDescent="0.25"/>
    <row r="166" s="416" customFormat="1" x14ac:dyDescent="0.25"/>
    <row r="167" s="416" customFormat="1" x14ac:dyDescent="0.25"/>
    <row r="168" s="416" customFormat="1" x14ac:dyDescent="0.25"/>
    <row r="169" s="416" customFormat="1" x14ac:dyDescent="0.25"/>
    <row r="170" s="416" customFormat="1" x14ac:dyDescent="0.25"/>
    <row r="171" s="416" customFormat="1" x14ac:dyDescent="0.25"/>
    <row r="172" s="416" customFormat="1" x14ac:dyDescent="0.25"/>
    <row r="173" s="416" customFormat="1" x14ac:dyDescent="0.25"/>
    <row r="174" s="416" customFormat="1" x14ac:dyDescent="0.25"/>
    <row r="175" s="416" customFormat="1" x14ac:dyDescent="0.25"/>
    <row r="176" s="416" customFormat="1" x14ac:dyDescent="0.25"/>
    <row r="177" s="416" customFormat="1" x14ac:dyDescent="0.25"/>
    <row r="178" s="416" customFormat="1" x14ac:dyDescent="0.25"/>
    <row r="179" s="416" customFormat="1" x14ac:dyDescent="0.25"/>
    <row r="180" s="416" customFormat="1" x14ac:dyDescent="0.25"/>
    <row r="181" s="416" customFormat="1" x14ac:dyDescent="0.25"/>
    <row r="182" s="416" customFormat="1" x14ac:dyDescent="0.25"/>
    <row r="183" s="416" customFormat="1" x14ac:dyDescent="0.25"/>
    <row r="184" s="416" customFormat="1" x14ac:dyDescent="0.25"/>
    <row r="185" s="416" customFormat="1" x14ac:dyDescent="0.25"/>
    <row r="186" s="416" customFormat="1" x14ac:dyDescent="0.25"/>
    <row r="187" s="416" customFormat="1" x14ac:dyDescent="0.25"/>
    <row r="188" s="416" customFormat="1" x14ac:dyDescent="0.25"/>
    <row r="189" s="416" customFormat="1" x14ac:dyDescent="0.25"/>
    <row r="190" s="416" customFormat="1" x14ac:dyDescent="0.25"/>
    <row r="191" s="416" customFormat="1" x14ac:dyDescent="0.25"/>
    <row r="192" s="416" customFormat="1" x14ac:dyDescent="0.25"/>
    <row r="193" s="416" customFormat="1" x14ac:dyDescent="0.25"/>
    <row r="194" s="416" customFormat="1" x14ac:dyDescent="0.25"/>
    <row r="195" s="416" customFormat="1" x14ac:dyDescent="0.25"/>
    <row r="196" s="416" customFormat="1" x14ac:dyDescent="0.25"/>
    <row r="197" s="416" customFormat="1" x14ac:dyDescent="0.25"/>
    <row r="198" s="416" customFormat="1" x14ac:dyDescent="0.25"/>
    <row r="199" s="416" customFormat="1" x14ac:dyDescent="0.25"/>
    <row r="200" s="416" customFormat="1" x14ac:dyDescent="0.25"/>
    <row r="201" s="416" customFormat="1" x14ac:dyDescent="0.25"/>
    <row r="202" s="416" customFormat="1" x14ac:dyDescent="0.25"/>
    <row r="203" s="416" customFormat="1" x14ac:dyDescent="0.25"/>
    <row r="204" s="416" customFormat="1" x14ac:dyDescent="0.25"/>
    <row r="205" s="416" customFormat="1" x14ac:dyDescent="0.25"/>
    <row r="206" s="416" customFormat="1" x14ac:dyDescent="0.25"/>
    <row r="207" s="416" customFormat="1" x14ac:dyDescent="0.25"/>
    <row r="208" s="416" customFormat="1" x14ac:dyDescent="0.25"/>
    <row r="209" s="416" customFormat="1" x14ac:dyDescent="0.25"/>
    <row r="210" s="416" customFormat="1" x14ac:dyDescent="0.25"/>
    <row r="211" s="416" customFormat="1" x14ac:dyDescent="0.25"/>
    <row r="212" s="416" customFormat="1" x14ac:dyDescent="0.25"/>
    <row r="213" s="416" customFormat="1" x14ac:dyDescent="0.25"/>
    <row r="214" s="416" customFormat="1" x14ac:dyDescent="0.25"/>
    <row r="215" s="416" customFormat="1" x14ac:dyDescent="0.25"/>
    <row r="216" s="416" customFormat="1" x14ac:dyDescent="0.25"/>
    <row r="217" s="416" customFormat="1" x14ac:dyDescent="0.25"/>
    <row r="218" s="416" customFormat="1" x14ac:dyDescent="0.25"/>
    <row r="219" s="416" customFormat="1" x14ac:dyDescent="0.25"/>
    <row r="220" s="416" customFormat="1" x14ac:dyDescent="0.25"/>
    <row r="221" s="416" customFormat="1" x14ac:dyDescent="0.25"/>
    <row r="222" s="416" customFormat="1" x14ac:dyDescent="0.25"/>
    <row r="223" s="416" customFormat="1" x14ac:dyDescent="0.25"/>
    <row r="224" s="416" customFormat="1" x14ac:dyDescent="0.25"/>
    <row r="225" s="416" customFormat="1" x14ac:dyDescent="0.25"/>
    <row r="226" s="416" customFormat="1" x14ac:dyDescent="0.25"/>
    <row r="227" s="416" customFormat="1" x14ac:dyDescent="0.25"/>
    <row r="228" s="416" customFormat="1" x14ac:dyDescent="0.25"/>
    <row r="229" s="416" customFormat="1" x14ac:dyDescent="0.25"/>
    <row r="230" s="416" customFormat="1" x14ac:dyDescent="0.25"/>
    <row r="231" s="416" customFormat="1" x14ac:dyDescent="0.25"/>
    <row r="232" s="416" customFormat="1" x14ac:dyDescent="0.25"/>
    <row r="233" s="416" customFormat="1" x14ac:dyDescent="0.25"/>
    <row r="234" s="416" customFormat="1" x14ac:dyDescent="0.25"/>
    <row r="235" s="416" customFormat="1" x14ac:dyDescent="0.25"/>
    <row r="236" s="416" customFormat="1" x14ac:dyDescent="0.25"/>
    <row r="237" s="416" customFormat="1" x14ac:dyDescent="0.25"/>
    <row r="238" s="416" customFormat="1" x14ac:dyDescent="0.25"/>
    <row r="239" s="416" customFormat="1" x14ac:dyDescent="0.25"/>
    <row r="240" s="416" customFormat="1" x14ac:dyDescent="0.25"/>
    <row r="241" s="416" customFormat="1" x14ac:dyDescent="0.25"/>
    <row r="242" s="416" customFormat="1" x14ac:dyDescent="0.25"/>
    <row r="243" s="416" customFormat="1" x14ac:dyDescent="0.25"/>
    <row r="244" s="416" customFormat="1" x14ac:dyDescent="0.25"/>
    <row r="245" s="416" customFormat="1" x14ac:dyDescent="0.25"/>
    <row r="246" s="416" customFormat="1" x14ac:dyDescent="0.25"/>
    <row r="247" s="416" customFormat="1" x14ac:dyDescent="0.25"/>
    <row r="248" s="416" customFormat="1" x14ac:dyDescent="0.25"/>
    <row r="249" s="416" customFormat="1" x14ac:dyDescent="0.25"/>
  </sheetData>
  <sheetProtection algorithmName="SHA-512" hashValue="N6WSiPgOL1GTOp9cqUlO0yBCmwAloj+6CQCN+n3X5pXT5ylDDzP+PhuM3mKi/D4FN2z6uDov08RlgRjgqFXR7A==" saltValue="EdoJc0K4Zq+S0VX5m9UH4w==" spinCount="100000" sheet="1" objects="1" scenarios="1"/>
  <mergeCells count="1">
    <mergeCell ref="J6:L7"/>
  </mergeCells>
  <phoneticPr fontId="4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81"/>
  <sheetViews>
    <sheetView tabSelected="1" workbookViewId="0">
      <selection activeCell="P21" sqref="P21"/>
    </sheetView>
  </sheetViews>
  <sheetFormatPr baseColWidth="10" defaultColWidth="11.44140625" defaultRowHeight="13.2" x14ac:dyDescent="0.25"/>
  <cols>
    <col min="1" max="1" width="1.5546875" style="383" customWidth="1"/>
    <col min="2" max="2" width="22.44140625" style="32" customWidth="1"/>
    <col min="3" max="3" width="12.77734375" style="32" customWidth="1"/>
    <col min="4" max="4" width="8.6640625" style="32" customWidth="1"/>
    <col min="5" max="6" width="11.21875" style="32" customWidth="1"/>
    <col min="7" max="7" width="17.77734375" style="32" customWidth="1"/>
    <col min="8" max="8" width="11.44140625" style="383"/>
    <col min="9" max="12" width="11.44140625" style="373"/>
    <col min="13" max="27" width="11.44140625" style="383"/>
    <col min="28" max="16384" width="11.44140625" style="32"/>
  </cols>
  <sheetData>
    <row r="1" spans="1:27" s="150" customFormat="1" ht="20.25" customHeight="1" x14ac:dyDescent="0.25">
      <c r="A1" s="416"/>
      <c r="B1" s="207" t="s">
        <v>157</v>
      </c>
      <c r="C1" s="208"/>
      <c r="D1" s="208"/>
      <c r="E1" s="209" t="str">
        <f>Maschinen!G2</f>
        <v>Pflügen mit Packer</v>
      </c>
      <c r="F1" s="208"/>
      <c r="G1" s="490"/>
      <c r="H1" s="416"/>
      <c r="I1" s="434"/>
      <c r="J1" s="434"/>
      <c r="K1" s="434"/>
      <c r="L1" s="434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</row>
    <row r="2" spans="1:27" s="150" customFormat="1" ht="21" customHeight="1" x14ac:dyDescent="0.25">
      <c r="A2" s="416"/>
      <c r="B2" s="211" t="s">
        <v>113</v>
      </c>
      <c r="C2" s="212">
        <f>Maschinen!B8</f>
        <v>1.26</v>
      </c>
      <c r="D2" s="213" t="str">
        <f>Maschinen!C8</f>
        <v>ha/h</v>
      </c>
      <c r="E2" s="487"/>
      <c r="F2" s="213"/>
      <c r="G2" s="215"/>
      <c r="H2" s="416"/>
      <c r="I2" s="434"/>
      <c r="J2" s="434"/>
      <c r="K2" s="434"/>
      <c r="L2" s="434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</row>
    <row r="3" spans="1:27" s="150" customFormat="1" ht="21" customHeight="1" x14ac:dyDescent="0.25">
      <c r="A3" s="416"/>
      <c r="B3" s="211" t="s">
        <v>165</v>
      </c>
      <c r="C3" s="212"/>
      <c r="D3" s="213"/>
      <c r="E3" s="213"/>
      <c r="F3" s="214"/>
      <c r="G3" s="215"/>
      <c r="H3" s="416"/>
      <c r="I3" s="434"/>
      <c r="J3" s="434"/>
      <c r="K3" s="434"/>
      <c r="L3" s="434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</row>
    <row r="4" spans="1:27" s="150" customFormat="1" ht="21" customHeight="1" x14ac:dyDescent="0.25">
      <c r="A4" s="416"/>
      <c r="B4" s="484" t="str">
        <f>Maschinen!C12</f>
        <v>Schlepper 130 kW</v>
      </c>
      <c r="C4" s="216">
        <f>Maschinen!E29</f>
        <v>1200</v>
      </c>
      <c r="D4" s="216" t="str">
        <f>Maschinen!D22</f>
        <v>h</v>
      </c>
      <c r="E4" s="487"/>
      <c r="F4" s="487"/>
      <c r="G4" s="488"/>
      <c r="H4" s="416"/>
      <c r="I4" s="521" t="s">
        <v>191</v>
      </c>
      <c r="J4" s="521"/>
      <c r="K4" s="521"/>
      <c r="L4" s="434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</row>
    <row r="5" spans="1:27" s="150" customFormat="1" ht="21" customHeight="1" x14ac:dyDescent="0.25">
      <c r="A5" s="416"/>
      <c r="B5" s="484" t="str">
        <f>IF(Maschinen!H14&gt;0,Maschinen!F12," ")</f>
        <v>Pflug 5furchig</v>
      </c>
      <c r="C5" s="216">
        <f>IF(B5=" "," ",Maschinen!H29)</f>
        <v>300</v>
      </c>
      <c r="D5" s="213" t="str">
        <f>IF(C5=" "," ",Maschinen!G22)</f>
        <v>ha</v>
      </c>
      <c r="E5" s="492" t="s">
        <v>196</v>
      </c>
      <c r="F5" s="486" t="s">
        <v>195</v>
      </c>
      <c r="G5" s="491">
        <f>Maschinen!T14</f>
        <v>211000</v>
      </c>
      <c r="H5" s="416"/>
      <c r="I5" s="521"/>
      <c r="J5" s="521"/>
      <c r="K5" s="521"/>
      <c r="L5" s="375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</row>
    <row r="6" spans="1:27" s="150" customFormat="1" ht="21" customHeight="1" x14ac:dyDescent="0.25">
      <c r="A6" s="416"/>
      <c r="B6" s="484" t="str">
        <f>IF(Maschinen!K14&gt;0,Maschinen!I12," ")</f>
        <v>Packer 90</v>
      </c>
      <c r="C6" s="216"/>
      <c r="D6" s="213"/>
      <c r="E6" s="492" t="s">
        <v>197</v>
      </c>
      <c r="F6" s="486" t="s">
        <v>195</v>
      </c>
      <c r="G6" s="491">
        <f>Maschinen!T15</f>
        <v>67000</v>
      </c>
      <c r="H6" s="416"/>
      <c r="I6" s="434"/>
      <c r="J6" s="434"/>
      <c r="K6" s="434"/>
      <c r="L6" s="434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</row>
    <row r="7" spans="1:27" s="150" customFormat="1" ht="21" customHeight="1" x14ac:dyDescent="0.25">
      <c r="A7" s="416"/>
      <c r="B7" s="484" t="str">
        <f>IF(Maschinen!N14&gt;0,Maschinen!L12," ")</f>
        <v xml:space="preserve"> </v>
      </c>
      <c r="C7" s="216"/>
      <c r="D7" s="213"/>
      <c r="E7" s="492" t="s">
        <v>198</v>
      </c>
      <c r="F7" s="486" t="s">
        <v>194</v>
      </c>
      <c r="G7" s="491">
        <f>Maschinen!T16</f>
        <v>11.333333333333334</v>
      </c>
      <c r="H7" s="416"/>
      <c r="I7" s="434"/>
      <c r="J7" s="434"/>
      <c r="K7" s="434"/>
      <c r="L7" s="434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</row>
    <row r="8" spans="1:27" s="150" customFormat="1" ht="21" customHeight="1" x14ac:dyDescent="0.25">
      <c r="A8" s="416"/>
      <c r="B8" s="485" t="str">
        <f>IF(Maschinen!O12&gt;0,Maschinen!Q14," ")</f>
        <v xml:space="preserve"> </v>
      </c>
      <c r="C8" s="217" t="str">
        <f>IF(B8=" "," ",Maschinen!K29)</f>
        <v xml:space="preserve"> </v>
      </c>
      <c r="D8" s="210" t="str">
        <f>IF(C8=" "," ",Maschinen!J22)</f>
        <v xml:space="preserve"> </v>
      </c>
      <c r="E8" s="483"/>
      <c r="F8" s="482"/>
      <c r="G8" s="489"/>
      <c r="H8" s="416"/>
      <c r="I8" s="434"/>
      <c r="J8" s="522"/>
      <c r="K8" s="522"/>
      <c r="L8" s="522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</row>
    <row r="9" spans="1:27" s="150" customFormat="1" ht="21" customHeight="1" x14ac:dyDescent="0.25">
      <c r="A9" s="416"/>
      <c r="B9" s="525" t="s">
        <v>158</v>
      </c>
      <c r="C9" s="219"/>
      <c r="D9" s="219"/>
      <c r="E9" s="219"/>
      <c r="F9" s="219"/>
      <c r="G9" s="220"/>
      <c r="H9" s="416"/>
      <c r="I9" s="434"/>
      <c r="J9" s="522"/>
      <c r="K9" s="522"/>
      <c r="L9" s="522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</row>
    <row r="10" spans="1:27" s="150" customFormat="1" ht="21" customHeight="1" x14ac:dyDescent="0.25">
      <c r="A10" s="416"/>
      <c r="B10" s="218" t="s">
        <v>154</v>
      </c>
      <c r="C10" s="219"/>
      <c r="D10" s="219"/>
      <c r="E10" s="221" t="s">
        <v>19</v>
      </c>
      <c r="F10" s="219" t="str">
        <f>Maschinen!H10</f>
        <v>h</v>
      </c>
      <c r="G10" s="222">
        <f>Maschinen!I10</f>
        <v>70.969401466666682</v>
      </c>
      <c r="H10" s="416"/>
      <c r="I10" s="434"/>
      <c r="J10" s="493"/>
      <c r="K10" s="375"/>
      <c r="L10" s="375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416"/>
      <c r="Y10" s="416"/>
      <c r="Z10" s="416"/>
      <c r="AA10" s="416"/>
    </row>
    <row r="11" spans="1:27" s="150" customFormat="1" ht="21" customHeight="1" x14ac:dyDescent="0.25">
      <c r="A11" s="416"/>
      <c r="B11" s="223" t="s">
        <v>103</v>
      </c>
      <c r="C11" s="224"/>
      <c r="D11" s="224"/>
      <c r="E11" s="225" t="s">
        <v>19</v>
      </c>
      <c r="F11" s="224" t="str">
        <f>F10</f>
        <v>h</v>
      </c>
      <c r="G11" s="226">
        <f>SUM(Personal!C23:E23)</f>
        <v>30.870827305258036</v>
      </c>
      <c r="H11" s="416"/>
      <c r="I11" s="434"/>
      <c r="J11" s="493"/>
      <c r="K11" s="375"/>
      <c r="L11" s="375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416"/>
      <c r="Y11" s="416"/>
      <c r="Z11" s="416"/>
      <c r="AA11" s="416"/>
    </row>
    <row r="12" spans="1:27" s="150" customFormat="1" ht="21" customHeight="1" x14ac:dyDescent="0.25">
      <c r="A12" s="416"/>
      <c r="B12" s="227" t="s">
        <v>161</v>
      </c>
      <c r="C12" s="228"/>
      <c r="D12" s="228"/>
      <c r="E12" s="229" t="s">
        <v>162</v>
      </c>
      <c r="F12" s="228" t="s">
        <v>163</v>
      </c>
      <c r="G12" s="230">
        <f>Gesamtergebnis!$C$9</f>
        <v>8</v>
      </c>
      <c r="H12" s="416"/>
      <c r="I12" s="434"/>
      <c r="J12" s="434"/>
      <c r="K12" s="434"/>
      <c r="L12" s="434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</row>
    <row r="13" spans="1:27" s="150" customFormat="1" ht="21" customHeight="1" x14ac:dyDescent="0.25">
      <c r="A13" s="416"/>
      <c r="B13" s="523" t="s">
        <v>159</v>
      </c>
      <c r="C13" s="231"/>
      <c r="D13" s="231"/>
      <c r="E13" s="231"/>
      <c r="F13" s="231"/>
      <c r="G13" s="232"/>
      <c r="H13" s="416"/>
      <c r="I13" s="434"/>
      <c r="J13" s="434"/>
      <c r="K13" s="434"/>
      <c r="L13" s="434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</row>
    <row r="14" spans="1:27" s="150" customFormat="1" ht="21" customHeight="1" x14ac:dyDescent="0.25">
      <c r="A14" s="416"/>
      <c r="B14" s="233" t="s">
        <v>167</v>
      </c>
      <c r="C14" s="231"/>
      <c r="D14" s="231"/>
      <c r="E14" s="234" t="s">
        <v>19</v>
      </c>
      <c r="F14" s="231" t="s">
        <v>160</v>
      </c>
      <c r="G14" s="232">
        <f>Gesamtergebnis!$F$12</f>
        <v>618.80522840000015</v>
      </c>
      <c r="H14" s="416"/>
      <c r="I14" s="434"/>
      <c r="J14" s="434"/>
      <c r="K14" s="434"/>
      <c r="L14" s="434"/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</row>
    <row r="15" spans="1:27" s="150" customFormat="1" ht="21" customHeight="1" x14ac:dyDescent="0.25">
      <c r="A15" s="416"/>
      <c r="B15" s="235" t="s">
        <v>166</v>
      </c>
      <c r="C15" s="236"/>
      <c r="D15" s="236"/>
      <c r="E15" s="237" t="s">
        <v>19</v>
      </c>
      <c r="F15" s="236" t="s">
        <v>160</v>
      </c>
      <c r="G15" s="238">
        <f>Gesamtergebnis!$F$11</f>
        <v>293.27285939995136</v>
      </c>
      <c r="H15" s="416"/>
      <c r="I15" s="434"/>
      <c r="J15" s="434"/>
      <c r="K15" s="434"/>
      <c r="L15" s="434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</row>
    <row r="16" spans="1:27" s="150" customFormat="1" ht="21" customHeight="1" x14ac:dyDescent="0.25">
      <c r="A16" s="416"/>
      <c r="B16" s="524" t="s">
        <v>164</v>
      </c>
      <c r="C16" s="240"/>
      <c r="D16" s="240"/>
      <c r="E16" s="240"/>
      <c r="F16" s="240"/>
      <c r="G16" s="241"/>
      <c r="H16" s="416"/>
      <c r="I16" s="434"/>
      <c r="J16" s="434"/>
      <c r="K16" s="434"/>
      <c r="L16" s="434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</row>
    <row r="17" spans="1:27" s="150" customFormat="1" ht="21" customHeight="1" x14ac:dyDescent="0.25">
      <c r="A17" s="416"/>
      <c r="B17" s="239" t="s">
        <v>155</v>
      </c>
      <c r="C17" s="240"/>
      <c r="D17" s="240"/>
      <c r="E17" s="242" t="s">
        <v>7</v>
      </c>
      <c r="F17" s="240"/>
      <c r="G17" s="241">
        <f>Geschäftskosten!H22*100</f>
        <v>17.220975833333334</v>
      </c>
      <c r="H17" s="416"/>
      <c r="I17" s="434"/>
      <c r="J17" s="434"/>
      <c r="K17" s="434"/>
      <c r="L17" s="434"/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</row>
    <row r="18" spans="1:27" s="150" customFormat="1" ht="21" customHeight="1" x14ac:dyDescent="0.25">
      <c r="A18" s="416"/>
      <c r="B18" s="243" t="s">
        <v>156</v>
      </c>
      <c r="C18" s="244"/>
      <c r="D18" s="244"/>
      <c r="E18" s="245" t="s">
        <v>7</v>
      </c>
      <c r="F18" s="244"/>
      <c r="G18" s="246">
        <f>Gesamtergebnis!C15</f>
        <v>1</v>
      </c>
      <c r="H18" s="416"/>
      <c r="I18" s="434"/>
      <c r="J18" s="434"/>
      <c r="K18" s="434"/>
      <c r="L18" s="434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</row>
    <row r="19" spans="1:27" s="150" customFormat="1" ht="21" customHeight="1" x14ac:dyDescent="0.25">
      <c r="A19" s="416"/>
      <c r="B19" s="247" t="s">
        <v>204</v>
      </c>
      <c r="C19" s="248"/>
      <c r="D19" s="248"/>
      <c r="E19" s="249" t="s">
        <v>19</v>
      </c>
      <c r="F19" s="248" t="s">
        <v>160</v>
      </c>
      <c r="G19" s="250">
        <f>(G14+G15)*(1+(G17/100+G18/100))</f>
        <v>1078.2676157591095</v>
      </c>
      <c r="H19" s="416"/>
      <c r="I19" s="434"/>
      <c r="J19" s="434"/>
      <c r="K19" s="434"/>
      <c r="L19" s="434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</row>
    <row r="20" spans="1:27" s="150" customFormat="1" ht="21" customHeight="1" x14ac:dyDescent="0.25">
      <c r="A20" s="416"/>
      <c r="B20" s="247"/>
      <c r="C20" s="248"/>
      <c r="D20" s="248"/>
      <c r="E20" s="249" t="s">
        <v>19</v>
      </c>
      <c r="F20" s="248" t="str">
        <f>F10</f>
        <v>h</v>
      </c>
      <c r="G20" s="250">
        <f>Gesamtergebnis!F17</f>
        <v>134.78345196988869</v>
      </c>
      <c r="H20" s="416"/>
      <c r="I20" s="434"/>
      <c r="J20" s="434"/>
      <c r="K20" s="434"/>
      <c r="L20" s="434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</row>
    <row r="21" spans="1:27" s="150" customFormat="1" ht="21" customHeight="1" thickBot="1" x14ac:dyDescent="0.3">
      <c r="A21" s="416"/>
      <c r="B21" s="251"/>
      <c r="C21" s="252"/>
      <c r="D21" s="252"/>
      <c r="E21" s="253" t="s">
        <v>19</v>
      </c>
      <c r="F21" s="252" t="str">
        <f>IF(F20="ha","h","ha")</f>
        <v>ha</v>
      </c>
      <c r="G21" s="254">
        <f>IF(F20="ha",G20*C2,G20/C2)</f>
        <v>106.97099362689579</v>
      </c>
      <c r="H21" s="416"/>
      <c r="I21" s="434"/>
      <c r="J21" s="434"/>
      <c r="K21" s="434"/>
      <c r="L21" s="434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</row>
    <row r="22" spans="1:27" s="416" customFormat="1" ht="20.25" customHeight="1" x14ac:dyDescent="0.25">
      <c r="I22" s="434"/>
      <c r="J22" s="434"/>
      <c r="K22" s="434"/>
      <c r="L22" s="434"/>
    </row>
    <row r="23" spans="1:27" s="383" customFormat="1" x14ac:dyDescent="0.25">
      <c r="I23" s="373"/>
      <c r="J23" s="373"/>
      <c r="K23" s="373"/>
      <c r="L23" s="373"/>
    </row>
    <row r="24" spans="1:27" s="383" customFormat="1" x14ac:dyDescent="0.25">
      <c r="G24" s="481"/>
      <c r="I24" s="373"/>
      <c r="J24" s="373"/>
      <c r="K24" s="373"/>
      <c r="L24" s="373"/>
    </row>
    <row r="25" spans="1:27" s="383" customFormat="1" x14ac:dyDescent="0.25">
      <c r="I25" s="373"/>
      <c r="J25" s="373"/>
      <c r="K25" s="373"/>
      <c r="L25" s="373"/>
    </row>
    <row r="26" spans="1:27" s="383" customFormat="1" x14ac:dyDescent="0.25">
      <c r="I26" s="373"/>
      <c r="J26" s="373"/>
      <c r="K26" s="373"/>
      <c r="L26" s="373"/>
    </row>
    <row r="27" spans="1:27" s="383" customFormat="1" x14ac:dyDescent="0.25">
      <c r="I27" s="373"/>
      <c r="J27" s="373"/>
      <c r="K27" s="373"/>
      <c r="L27" s="373"/>
    </row>
    <row r="28" spans="1:27" s="383" customFormat="1" x14ac:dyDescent="0.25">
      <c r="I28" s="373"/>
      <c r="J28" s="373"/>
      <c r="K28" s="373"/>
      <c r="L28" s="373"/>
    </row>
    <row r="29" spans="1:27" s="383" customFormat="1" x14ac:dyDescent="0.25">
      <c r="I29" s="373"/>
      <c r="J29" s="373"/>
      <c r="K29" s="373"/>
      <c r="L29" s="373"/>
    </row>
    <row r="30" spans="1:27" s="383" customFormat="1" x14ac:dyDescent="0.25">
      <c r="I30" s="373"/>
      <c r="J30" s="373"/>
      <c r="K30" s="373"/>
      <c r="L30" s="373"/>
    </row>
    <row r="31" spans="1:27" s="383" customFormat="1" x14ac:dyDescent="0.25">
      <c r="I31" s="373"/>
      <c r="J31" s="373"/>
      <c r="K31" s="373"/>
      <c r="L31" s="373"/>
    </row>
    <row r="32" spans="1:27" s="383" customFormat="1" x14ac:dyDescent="0.25">
      <c r="I32" s="373"/>
      <c r="J32" s="373"/>
      <c r="K32" s="373"/>
      <c r="L32" s="373"/>
    </row>
    <row r="33" spans="9:12" s="383" customFormat="1" x14ac:dyDescent="0.25">
      <c r="I33" s="373"/>
      <c r="J33" s="373"/>
      <c r="K33" s="373"/>
      <c r="L33" s="373"/>
    </row>
    <row r="34" spans="9:12" s="383" customFormat="1" x14ac:dyDescent="0.25">
      <c r="I34" s="373"/>
      <c r="J34" s="373"/>
      <c r="K34" s="373"/>
      <c r="L34" s="373"/>
    </row>
    <row r="35" spans="9:12" s="383" customFormat="1" x14ac:dyDescent="0.25">
      <c r="I35" s="373"/>
      <c r="J35" s="373"/>
      <c r="K35" s="373"/>
      <c r="L35" s="373"/>
    </row>
    <row r="36" spans="9:12" s="383" customFormat="1" x14ac:dyDescent="0.25">
      <c r="I36" s="373"/>
      <c r="J36" s="373"/>
      <c r="K36" s="373"/>
      <c r="L36" s="373"/>
    </row>
    <row r="37" spans="9:12" s="383" customFormat="1" x14ac:dyDescent="0.25">
      <c r="I37" s="373"/>
      <c r="J37" s="373"/>
      <c r="K37" s="373"/>
      <c r="L37" s="373"/>
    </row>
    <row r="38" spans="9:12" s="383" customFormat="1" x14ac:dyDescent="0.25">
      <c r="I38" s="373"/>
      <c r="J38" s="373"/>
      <c r="K38" s="373"/>
      <c r="L38" s="373"/>
    </row>
    <row r="39" spans="9:12" s="383" customFormat="1" x14ac:dyDescent="0.25">
      <c r="I39" s="373"/>
      <c r="J39" s="373"/>
      <c r="K39" s="373"/>
      <c r="L39" s="373"/>
    </row>
    <row r="40" spans="9:12" s="383" customFormat="1" x14ac:dyDescent="0.25">
      <c r="I40" s="373"/>
      <c r="J40" s="373"/>
      <c r="K40" s="373"/>
      <c r="L40" s="373"/>
    </row>
    <row r="41" spans="9:12" s="383" customFormat="1" x14ac:dyDescent="0.25">
      <c r="I41" s="373"/>
      <c r="J41" s="373"/>
      <c r="K41" s="373"/>
      <c r="L41" s="373"/>
    </row>
    <row r="42" spans="9:12" s="383" customFormat="1" x14ac:dyDescent="0.25">
      <c r="I42" s="373"/>
      <c r="J42" s="373"/>
      <c r="K42" s="373"/>
      <c r="L42" s="373"/>
    </row>
    <row r="43" spans="9:12" s="383" customFormat="1" x14ac:dyDescent="0.25">
      <c r="I43" s="373"/>
      <c r="J43" s="373"/>
      <c r="K43" s="373"/>
      <c r="L43" s="373"/>
    </row>
    <row r="44" spans="9:12" s="383" customFormat="1" x14ac:dyDescent="0.25">
      <c r="I44" s="373"/>
      <c r="J44" s="373"/>
      <c r="K44" s="373"/>
      <c r="L44" s="373"/>
    </row>
    <row r="45" spans="9:12" s="383" customFormat="1" x14ac:dyDescent="0.25">
      <c r="I45" s="373"/>
      <c r="J45" s="373"/>
      <c r="K45" s="373"/>
      <c r="L45" s="373"/>
    </row>
    <row r="46" spans="9:12" s="383" customFormat="1" x14ac:dyDescent="0.25">
      <c r="I46" s="373"/>
      <c r="J46" s="373"/>
      <c r="K46" s="373"/>
      <c r="L46" s="373"/>
    </row>
    <row r="47" spans="9:12" s="383" customFormat="1" x14ac:dyDescent="0.25">
      <c r="I47" s="373"/>
      <c r="J47" s="373"/>
      <c r="K47" s="373"/>
      <c r="L47" s="373"/>
    </row>
    <row r="48" spans="9:12" s="383" customFormat="1" x14ac:dyDescent="0.25">
      <c r="I48" s="373"/>
      <c r="J48" s="373"/>
      <c r="K48" s="373"/>
      <c r="L48" s="373"/>
    </row>
    <row r="49" spans="9:12" s="383" customFormat="1" x14ac:dyDescent="0.25">
      <c r="I49" s="373"/>
      <c r="J49" s="373"/>
      <c r="K49" s="373"/>
      <c r="L49" s="373"/>
    </row>
    <row r="50" spans="9:12" s="383" customFormat="1" x14ac:dyDescent="0.25">
      <c r="I50" s="373"/>
      <c r="J50" s="373"/>
      <c r="K50" s="373"/>
      <c r="L50" s="373"/>
    </row>
    <row r="51" spans="9:12" s="383" customFormat="1" x14ac:dyDescent="0.25">
      <c r="I51" s="373"/>
      <c r="J51" s="373"/>
      <c r="K51" s="373"/>
      <c r="L51" s="373"/>
    </row>
    <row r="52" spans="9:12" s="383" customFormat="1" x14ac:dyDescent="0.25">
      <c r="I52" s="373"/>
      <c r="J52" s="373"/>
      <c r="K52" s="373"/>
      <c r="L52" s="373"/>
    </row>
    <row r="53" spans="9:12" s="383" customFormat="1" x14ac:dyDescent="0.25">
      <c r="I53" s="373"/>
      <c r="J53" s="373"/>
      <c r="K53" s="373"/>
      <c r="L53" s="373"/>
    </row>
    <row r="54" spans="9:12" s="383" customFormat="1" x14ac:dyDescent="0.25">
      <c r="I54" s="373"/>
      <c r="J54" s="373"/>
      <c r="K54" s="373"/>
      <c r="L54" s="373"/>
    </row>
    <row r="55" spans="9:12" s="383" customFormat="1" x14ac:dyDescent="0.25">
      <c r="I55" s="373"/>
      <c r="J55" s="373"/>
      <c r="K55" s="373"/>
      <c r="L55" s="373"/>
    </row>
    <row r="56" spans="9:12" s="383" customFormat="1" x14ac:dyDescent="0.25">
      <c r="I56" s="373"/>
      <c r="J56" s="373"/>
      <c r="K56" s="373"/>
      <c r="L56" s="373"/>
    </row>
    <row r="57" spans="9:12" s="383" customFormat="1" x14ac:dyDescent="0.25">
      <c r="I57" s="373"/>
      <c r="J57" s="373"/>
      <c r="K57" s="373"/>
      <c r="L57" s="373"/>
    </row>
    <row r="58" spans="9:12" s="383" customFormat="1" x14ac:dyDescent="0.25">
      <c r="I58" s="373"/>
      <c r="J58" s="373"/>
      <c r="K58" s="373"/>
      <c r="L58" s="373"/>
    </row>
    <row r="59" spans="9:12" s="383" customFormat="1" x14ac:dyDescent="0.25">
      <c r="I59" s="373"/>
      <c r="J59" s="373"/>
      <c r="K59" s="373"/>
      <c r="L59" s="373"/>
    </row>
    <row r="60" spans="9:12" s="383" customFormat="1" x14ac:dyDescent="0.25">
      <c r="I60" s="373"/>
      <c r="J60" s="373"/>
      <c r="K60" s="373"/>
      <c r="L60" s="373"/>
    </row>
    <row r="61" spans="9:12" s="383" customFormat="1" x14ac:dyDescent="0.25">
      <c r="I61" s="373"/>
      <c r="J61" s="373"/>
      <c r="K61" s="373"/>
      <c r="L61" s="373"/>
    </row>
    <row r="62" spans="9:12" s="383" customFormat="1" x14ac:dyDescent="0.25">
      <c r="I62" s="373"/>
      <c r="J62" s="373"/>
      <c r="K62" s="373"/>
      <c r="L62" s="373"/>
    </row>
    <row r="63" spans="9:12" s="383" customFormat="1" x14ac:dyDescent="0.25">
      <c r="I63" s="373"/>
      <c r="J63" s="373"/>
      <c r="K63" s="373"/>
      <c r="L63" s="373"/>
    </row>
    <row r="64" spans="9:12" s="383" customFormat="1" x14ac:dyDescent="0.25">
      <c r="I64" s="373"/>
      <c r="J64" s="373"/>
      <c r="K64" s="373"/>
      <c r="L64" s="373"/>
    </row>
    <row r="65" spans="9:12" s="383" customFormat="1" x14ac:dyDescent="0.25">
      <c r="I65" s="373"/>
      <c r="J65" s="373"/>
      <c r="K65" s="373"/>
      <c r="L65" s="373"/>
    </row>
    <row r="66" spans="9:12" s="383" customFormat="1" x14ac:dyDescent="0.25">
      <c r="I66" s="373"/>
      <c r="J66" s="373"/>
      <c r="K66" s="373"/>
      <c r="L66" s="373"/>
    </row>
    <row r="67" spans="9:12" s="383" customFormat="1" x14ac:dyDescent="0.25">
      <c r="I67" s="373"/>
      <c r="J67" s="373"/>
      <c r="K67" s="373"/>
      <c r="L67" s="373"/>
    </row>
    <row r="68" spans="9:12" s="383" customFormat="1" x14ac:dyDescent="0.25">
      <c r="I68" s="373"/>
      <c r="J68" s="373"/>
      <c r="K68" s="373"/>
      <c r="L68" s="373"/>
    </row>
    <row r="69" spans="9:12" s="383" customFormat="1" x14ac:dyDescent="0.25">
      <c r="I69" s="373"/>
      <c r="J69" s="373"/>
      <c r="K69" s="373"/>
      <c r="L69" s="373"/>
    </row>
    <row r="70" spans="9:12" s="383" customFormat="1" x14ac:dyDescent="0.25">
      <c r="I70" s="373"/>
      <c r="J70" s="373"/>
      <c r="K70" s="373"/>
      <c r="L70" s="373"/>
    </row>
    <row r="71" spans="9:12" s="383" customFormat="1" x14ac:dyDescent="0.25">
      <c r="I71" s="373"/>
      <c r="J71" s="373"/>
      <c r="K71" s="373"/>
      <c r="L71" s="373"/>
    </row>
    <row r="72" spans="9:12" s="383" customFormat="1" x14ac:dyDescent="0.25">
      <c r="I72" s="373"/>
      <c r="J72" s="373"/>
      <c r="K72" s="373"/>
      <c r="L72" s="373"/>
    </row>
    <row r="73" spans="9:12" s="383" customFormat="1" x14ac:dyDescent="0.25">
      <c r="I73" s="373"/>
      <c r="J73" s="373"/>
      <c r="K73" s="373"/>
      <c r="L73" s="373"/>
    </row>
    <row r="74" spans="9:12" s="383" customFormat="1" x14ac:dyDescent="0.25">
      <c r="I74" s="373"/>
      <c r="J74" s="373"/>
      <c r="K74" s="373"/>
      <c r="L74" s="373"/>
    </row>
    <row r="75" spans="9:12" s="383" customFormat="1" x14ac:dyDescent="0.25">
      <c r="I75" s="373"/>
      <c r="J75" s="373"/>
      <c r="K75" s="373"/>
      <c r="L75" s="373"/>
    </row>
    <row r="76" spans="9:12" s="383" customFormat="1" x14ac:dyDescent="0.25">
      <c r="I76" s="373"/>
      <c r="J76" s="373"/>
      <c r="K76" s="373"/>
      <c r="L76" s="373"/>
    </row>
    <row r="77" spans="9:12" s="383" customFormat="1" x14ac:dyDescent="0.25">
      <c r="I77" s="373"/>
      <c r="J77" s="373"/>
      <c r="K77" s="373"/>
      <c r="L77" s="373"/>
    </row>
    <row r="78" spans="9:12" s="383" customFormat="1" x14ac:dyDescent="0.25">
      <c r="I78" s="373"/>
      <c r="J78" s="373"/>
      <c r="K78" s="373"/>
      <c r="L78" s="373"/>
    </row>
    <row r="79" spans="9:12" s="383" customFormat="1" x14ac:dyDescent="0.25">
      <c r="I79" s="373"/>
      <c r="J79" s="373"/>
      <c r="K79" s="373"/>
      <c r="L79" s="373"/>
    </row>
    <row r="80" spans="9:12" s="383" customFormat="1" x14ac:dyDescent="0.25">
      <c r="I80" s="373"/>
      <c r="J80" s="373"/>
      <c r="K80" s="373"/>
      <c r="L80" s="373"/>
    </row>
    <row r="81" spans="9:12" s="383" customFormat="1" x14ac:dyDescent="0.25">
      <c r="I81" s="373"/>
      <c r="J81" s="373"/>
      <c r="K81" s="373"/>
      <c r="L81" s="373"/>
    </row>
    <row r="82" spans="9:12" s="383" customFormat="1" x14ac:dyDescent="0.25">
      <c r="I82" s="373"/>
      <c r="J82" s="373"/>
      <c r="K82" s="373"/>
      <c r="L82" s="373"/>
    </row>
    <row r="83" spans="9:12" s="383" customFormat="1" x14ac:dyDescent="0.25">
      <c r="I83" s="373"/>
      <c r="J83" s="373"/>
      <c r="K83" s="373"/>
      <c r="L83" s="373"/>
    </row>
    <row r="84" spans="9:12" s="383" customFormat="1" x14ac:dyDescent="0.25">
      <c r="I84" s="373"/>
      <c r="J84" s="373"/>
      <c r="K84" s="373"/>
      <c r="L84" s="373"/>
    </row>
    <row r="85" spans="9:12" s="383" customFormat="1" x14ac:dyDescent="0.25">
      <c r="I85" s="373"/>
      <c r="J85" s="373"/>
      <c r="K85" s="373"/>
      <c r="L85" s="373"/>
    </row>
    <row r="86" spans="9:12" s="383" customFormat="1" x14ac:dyDescent="0.25">
      <c r="I86" s="373"/>
      <c r="J86" s="373"/>
      <c r="K86" s="373"/>
      <c r="L86" s="373"/>
    </row>
    <row r="87" spans="9:12" s="383" customFormat="1" x14ac:dyDescent="0.25">
      <c r="I87" s="373"/>
      <c r="J87" s="373"/>
      <c r="K87" s="373"/>
      <c r="L87" s="373"/>
    </row>
    <row r="88" spans="9:12" s="383" customFormat="1" x14ac:dyDescent="0.25">
      <c r="I88" s="373"/>
      <c r="J88" s="373"/>
      <c r="K88" s="373"/>
      <c r="L88" s="373"/>
    </row>
    <row r="89" spans="9:12" s="383" customFormat="1" x14ac:dyDescent="0.25">
      <c r="I89" s="373"/>
      <c r="J89" s="373"/>
      <c r="K89" s="373"/>
      <c r="L89" s="373"/>
    </row>
    <row r="90" spans="9:12" s="383" customFormat="1" x14ac:dyDescent="0.25">
      <c r="I90" s="373"/>
      <c r="J90" s="373"/>
      <c r="K90" s="373"/>
      <c r="L90" s="373"/>
    </row>
    <row r="91" spans="9:12" s="383" customFormat="1" x14ac:dyDescent="0.25">
      <c r="I91" s="373"/>
      <c r="J91" s="373"/>
      <c r="K91" s="373"/>
      <c r="L91" s="373"/>
    </row>
    <row r="92" spans="9:12" s="383" customFormat="1" x14ac:dyDescent="0.25">
      <c r="I92" s="373"/>
      <c r="J92" s="373"/>
      <c r="K92" s="373"/>
      <c r="L92" s="373"/>
    </row>
    <row r="93" spans="9:12" s="383" customFormat="1" x14ac:dyDescent="0.25">
      <c r="I93" s="373"/>
      <c r="J93" s="373"/>
      <c r="K93" s="373"/>
      <c r="L93" s="373"/>
    </row>
    <row r="94" spans="9:12" s="383" customFormat="1" x14ac:dyDescent="0.25">
      <c r="I94" s="373"/>
      <c r="J94" s="373"/>
      <c r="K94" s="373"/>
      <c r="L94" s="373"/>
    </row>
    <row r="95" spans="9:12" s="383" customFormat="1" x14ac:dyDescent="0.25">
      <c r="I95" s="373"/>
      <c r="J95" s="373"/>
      <c r="K95" s="373"/>
      <c r="L95" s="373"/>
    </row>
    <row r="96" spans="9:12" s="383" customFormat="1" x14ac:dyDescent="0.25">
      <c r="I96" s="373"/>
      <c r="J96" s="373"/>
      <c r="K96" s="373"/>
      <c r="L96" s="373"/>
    </row>
    <row r="97" spans="9:12" s="383" customFormat="1" x14ac:dyDescent="0.25">
      <c r="I97" s="373"/>
      <c r="J97" s="373"/>
      <c r="K97" s="373"/>
      <c r="L97" s="373"/>
    </row>
    <row r="98" spans="9:12" s="383" customFormat="1" x14ac:dyDescent="0.25">
      <c r="I98" s="373"/>
      <c r="J98" s="373"/>
      <c r="K98" s="373"/>
      <c r="L98" s="373"/>
    </row>
    <row r="99" spans="9:12" s="383" customFormat="1" x14ac:dyDescent="0.25">
      <c r="I99" s="373"/>
      <c r="J99" s="373"/>
      <c r="K99" s="373"/>
      <c r="L99" s="373"/>
    </row>
    <row r="100" spans="9:12" s="383" customFormat="1" x14ac:dyDescent="0.25">
      <c r="I100" s="373"/>
      <c r="J100" s="373"/>
      <c r="K100" s="373"/>
      <c r="L100" s="373"/>
    </row>
    <row r="101" spans="9:12" s="383" customFormat="1" x14ac:dyDescent="0.25">
      <c r="I101" s="373"/>
      <c r="J101" s="373"/>
      <c r="K101" s="373"/>
      <c r="L101" s="373"/>
    </row>
    <row r="102" spans="9:12" s="383" customFormat="1" x14ac:dyDescent="0.25">
      <c r="I102" s="373"/>
      <c r="J102" s="373"/>
      <c r="K102" s="373"/>
      <c r="L102" s="373"/>
    </row>
    <row r="103" spans="9:12" s="383" customFormat="1" x14ac:dyDescent="0.25">
      <c r="I103" s="373"/>
      <c r="J103" s="373"/>
      <c r="K103" s="373"/>
      <c r="L103" s="373"/>
    </row>
    <row r="104" spans="9:12" s="383" customFormat="1" x14ac:dyDescent="0.25">
      <c r="I104" s="373"/>
      <c r="J104" s="373"/>
      <c r="K104" s="373"/>
      <c r="L104" s="373"/>
    </row>
    <row r="105" spans="9:12" s="383" customFormat="1" x14ac:dyDescent="0.25">
      <c r="I105" s="373"/>
      <c r="J105" s="373"/>
      <c r="K105" s="373"/>
      <c r="L105" s="373"/>
    </row>
    <row r="106" spans="9:12" s="383" customFormat="1" x14ac:dyDescent="0.25">
      <c r="I106" s="373"/>
      <c r="J106" s="373"/>
      <c r="K106" s="373"/>
      <c r="L106" s="373"/>
    </row>
    <row r="107" spans="9:12" s="383" customFormat="1" x14ac:dyDescent="0.25">
      <c r="I107" s="373"/>
      <c r="J107" s="373"/>
      <c r="K107" s="373"/>
      <c r="L107" s="373"/>
    </row>
    <row r="108" spans="9:12" s="383" customFormat="1" x14ac:dyDescent="0.25">
      <c r="I108" s="373"/>
      <c r="J108" s="373"/>
      <c r="K108" s="373"/>
      <c r="L108" s="373"/>
    </row>
    <row r="109" spans="9:12" s="383" customFormat="1" x14ac:dyDescent="0.25">
      <c r="I109" s="373"/>
      <c r="J109" s="373"/>
      <c r="K109" s="373"/>
      <c r="L109" s="373"/>
    </row>
    <row r="110" spans="9:12" s="383" customFormat="1" x14ac:dyDescent="0.25">
      <c r="I110" s="373"/>
      <c r="J110" s="373"/>
      <c r="K110" s="373"/>
      <c r="L110" s="373"/>
    </row>
    <row r="111" spans="9:12" s="383" customFormat="1" x14ac:dyDescent="0.25">
      <c r="I111" s="373"/>
      <c r="J111" s="373"/>
      <c r="K111" s="373"/>
      <c r="L111" s="373"/>
    </row>
    <row r="112" spans="9:12" s="383" customFormat="1" x14ac:dyDescent="0.25">
      <c r="I112" s="373"/>
      <c r="J112" s="373"/>
      <c r="K112" s="373"/>
      <c r="L112" s="373"/>
    </row>
    <row r="113" spans="9:12" s="383" customFormat="1" x14ac:dyDescent="0.25">
      <c r="I113" s="373"/>
      <c r="J113" s="373"/>
      <c r="K113" s="373"/>
      <c r="L113" s="373"/>
    </row>
    <row r="114" spans="9:12" s="383" customFormat="1" x14ac:dyDescent="0.25">
      <c r="I114" s="373"/>
      <c r="J114" s="373"/>
      <c r="K114" s="373"/>
      <c r="L114" s="373"/>
    </row>
    <row r="115" spans="9:12" s="383" customFormat="1" x14ac:dyDescent="0.25">
      <c r="I115" s="373"/>
      <c r="J115" s="373"/>
      <c r="K115" s="373"/>
      <c r="L115" s="373"/>
    </row>
    <row r="116" spans="9:12" s="383" customFormat="1" x14ac:dyDescent="0.25">
      <c r="I116" s="373"/>
      <c r="J116" s="373"/>
      <c r="K116" s="373"/>
      <c r="L116" s="373"/>
    </row>
    <row r="117" spans="9:12" s="383" customFormat="1" x14ac:dyDescent="0.25">
      <c r="I117" s="373"/>
      <c r="J117" s="373"/>
      <c r="K117" s="373"/>
      <c r="L117" s="373"/>
    </row>
    <row r="118" spans="9:12" s="383" customFormat="1" x14ac:dyDescent="0.25">
      <c r="I118" s="373"/>
      <c r="J118" s="373"/>
      <c r="K118" s="373"/>
      <c r="L118" s="373"/>
    </row>
    <row r="119" spans="9:12" s="383" customFormat="1" x14ac:dyDescent="0.25">
      <c r="I119" s="373"/>
      <c r="J119" s="373"/>
      <c r="K119" s="373"/>
      <c r="L119" s="373"/>
    </row>
    <row r="120" spans="9:12" s="383" customFormat="1" x14ac:dyDescent="0.25">
      <c r="I120" s="373"/>
      <c r="J120" s="373"/>
      <c r="K120" s="373"/>
      <c r="L120" s="373"/>
    </row>
    <row r="121" spans="9:12" s="383" customFormat="1" x14ac:dyDescent="0.25">
      <c r="I121" s="373"/>
      <c r="J121" s="373"/>
      <c r="K121" s="373"/>
      <c r="L121" s="373"/>
    </row>
    <row r="122" spans="9:12" s="383" customFormat="1" x14ac:dyDescent="0.25">
      <c r="I122" s="373"/>
      <c r="J122" s="373"/>
      <c r="K122" s="373"/>
      <c r="L122" s="373"/>
    </row>
    <row r="123" spans="9:12" s="383" customFormat="1" x14ac:dyDescent="0.25">
      <c r="I123" s="373"/>
      <c r="J123" s="373"/>
      <c r="K123" s="373"/>
      <c r="L123" s="373"/>
    </row>
    <row r="124" spans="9:12" s="383" customFormat="1" x14ac:dyDescent="0.25">
      <c r="I124" s="373"/>
      <c r="J124" s="373"/>
      <c r="K124" s="373"/>
      <c r="L124" s="373"/>
    </row>
    <row r="125" spans="9:12" s="383" customFormat="1" x14ac:dyDescent="0.25">
      <c r="I125" s="373"/>
      <c r="J125" s="373"/>
      <c r="K125" s="373"/>
      <c r="L125" s="373"/>
    </row>
    <row r="126" spans="9:12" s="383" customFormat="1" x14ac:dyDescent="0.25">
      <c r="I126" s="373"/>
      <c r="J126" s="373"/>
      <c r="K126" s="373"/>
      <c r="L126" s="373"/>
    </row>
    <row r="127" spans="9:12" s="383" customFormat="1" x14ac:dyDescent="0.25">
      <c r="I127" s="373"/>
      <c r="J127" s="373"/>
      <c r="K127" s="373"/>
      <c r="L127" s="373"/>
    </row>
    <row r="128" spans="9:12" s="383" customFormat="1" x14ac:dyDescent="0.25">
      <c r="I128" s="373"/>
      <c r="J128" s="373"/>
      <c r="K128" s="373"/>
      <c r="L128" s="373"/>
    </row>
    <row r="129" spans="9:12" s="383" customFormat="1" x14ac:dyDescent="0.25">
      <c r="I129" s="373"/>
      <c r="J129" s="373"/>
      <c r="K129" s="373"/>
      <c r="L129" s="373"/>
    </row>
    <row r="130" spans="9:12" s="383" customFormat="1" x14ac:dyDescent="0.25">
      <c r="I130" s="373"/>
      <c r="J130" s="373"/>
      <c r="K130" s="373"/>
      <c r="L130" s="373"/>
    </row>
    <row r="131" spans="9:12" s="383" customFormat="1" x14ac:dyDescent="0.25">
      <c r="I131" s="373"/>
      <c r="J131" s="373"/>
      <c r="K131" s="373"/>
      <c r="L131" s="373"/>
    </row>
    <row r="132" spans="9:12" s="383" customFormat="1" x14ac:dyDescent="0.25">
      <c r="I132" s="373"/>
      <c r="J132" s="373"/>
      <c r="K132" s="373"/>
      <c r="L132" s="373"/>
    </row>
    <row r="133" spans="9:12" s="383" customFormat="1" x14ac:dyDescent="0.25">
      <c r="I133" s="373"/>
      <c r="J133" s="373"/>
      <c r="K133" s="373"/>
      <c r="L133" s="373"/>
    </row>
    <row r="134" spans="9:12" s="383" customFormat="1" x14ac:dyDescent="0.25">
      <c r="I134" s="373"/>
      <c r="J134" s="373"/>
      <c r="K134" s="373"/>
      <c r="L134" s="373"/>
    </row>
    <row r="135" spans="9:12" s="383" customFormat="1" x14ac:dyDescent="0.25">
      <c r="I135" s="373"/>
      <c r="J135" s="373"/>
      <c r="K135" s="373"/>
      <c r="L135" s="373"/>
    </row>
    <row r="136" spans="9:12" s="383" customFormat="1" x14ac:dyDescent="0.25">
      <c r="I136" s="373"/>
      <c r="J136" s="373"/>
      <c r="K136" s="373"/>
      <c r="L136" s="373"/>
    </row>
    <row r="137" spans="9:12" s="383" customFormat="1" x14ac:dyDescent="0.25">
      <c r="I137" s="373"/>
      <c r="J137" s="373"/>
      <c r="K137" s="373"/>
      <c r="L137" s="373"/>
    </row>
    <row r="138" spans="9:12" s="383" customFormat="1" x14ac:dyDescent="0.25">
      <c r="I138" s="373"/>
      <c r="J138" s="373"/>
      <c r="K138" s="373"/>
      <c r="L138" s="373"/>
    </row>
    <row r="139" spans="9:12" s="383" customFormat="1" x14ac:dyDescent="0.25">
      <c r="I139" s="373"/>
      <c r="J139" s="373"/>
      <c r="K139" s="373"/>
      <c r="L139" s="373"/>
    </row>
    <row r="140" spans="9:12" s="383" customFormat="1" x14ac:dyDescent="0.25">
      <c r="I140" s="373"/>
      <c r="J140" s="373"/>
      <c r="K140" s="373"/>
      <c r="L140" s="373"/>
    </row>
    <row r="141" spans="9:12" s="383" customFormat="1" x14ac:dyDescent="0.25">
      <c r="I141" s="373"/>
      <c r="J141" s="373"/>
      <c r="K141" s="373"/>
      <c r="L141" s="373"/>
    </row>
    <row r="142" spans="9:12" s="383" customFormat="1" x14ac:dyDescent="0.25">
      <c r="I142" s="373"/>
      <c r="J142" s="373"/>
      <c r="K142" s="373"/>
      <c r="L142" s="373"/>
    </row>
    <row r="143" spans="9:12" s="383" customFormat="1" x14ac:dyDescent="0.25">
      <c r="I143" s="373"/>
      <c r="J143" s="373"/>
      <c r="K143" s="373"/>
      <c r="L143" s="373"/>
    </row>
    <row r="144" spans="9:12" s="383" customFormat="1" x14ac:dyDescent="0.25">
      <c r="I144" s="373"/>
      <c r="J144" s="373"/>
      <c r="K144" s="373"/>
      <c r="L144" s="373"/>
    </row>
    <row r="145" spans="9:12" s="383" customFormat="1" x14ac:dyDescent="0.25">
      <c r="I145" s="373"/>
      <c r="J145" s="373"/>
      <c r="K145" s="373"/>
      <c r="L145" s="373"/>
    </row>
    <row r="146" spans="9:12" s="383" customFormat="1" x14ac:dyDescent="0.25">
      <c r="I146" s="373"/>
      <c r="J146" s="373"/>
      <c r="K146" s="373"/>
      <c r="L146" s="373"/>
    </row>
    <row r="147" spans="9:12" s="383" customFormat="1" x14ac:dyDescent="0.25">
      <c r="I147" s="373"/>
      <c r="J147" s="373"/>
      <c r="K147" s="373"/>
      <c r="L147" s="373"/>
    </row>
    <row r="148" spans="9:12" s="383" customFormat="1" x14ac:dyDescent="0.25">
      <c r="I148" s="373"/>
      <c r="J148" s="373"/>
      <c r="K148" s="373"/>
      <c r="L148" s="373"/>
    </row>
    <row r="149" spans="9:12" s="383" customFormat="1" x14ac:dyDescent="0.25">
      <c r="I149" s="373"/>
      <c r="J149" s="373"/>
      <c r="K149" s="373"/>
      <c r="L149" s="373"/>
    </row>
    <row r="150" spans="9:12" s="383" customFormat="1" x14ac:dyDescent="0.25">
      <c r="I150" s="373"/>
      <c r="J150" s="373"/>
      <c r="K150" s="373"/>
      <c r="L150" s="373"/>
    </row>
    <row r="151" spans="9:12" s="383" customFormat="1" x14ac:dyDescent="0.25">
      <c r="I151" s="373"/>
      <c r="J151" s="373"/>
      <c r="K151" s="373"/>
      <c r="L151" s="373"/>
    </row>
    <row r="152" spans="9:12" s="383" customFormat="1" x14ac:dyDescent="0.25">
      <c r="I152" s="373"/>
      <c r="J152" s="373"/>
      <c r="K152" s="373"/>
      <c r="L152" s="373"/>
    </row>
    <row r="153" spans="9:12" s="383" customFormat="1" x14ac:dyDescent="0.25">
      <c r="I153" s="373"/>
      <c r="J153" s="373"/>
      <c r="K153" s="373"/>
      <c r="L153" s="373"/>
    </row>
    <row r="154" spans="9:12" s="383" customFormat="1" x14ac:dyDescent="0.25">
      <c r="I154" s="373"/>
      <c r="J154" s="373"/>
      <c r="K154" s="373"/>
      <c r="L154" s="373"/>
    </row>
    <row r="155" spans="9:12" s="383" customFormat="1" x14ac:dyDescent="0.25">
      <c r="I155" s="373"/>
      <c r="J155" s="373"/>
      <c r="K155" s="373"/>
      <c r="L155" s="373"/>
    </row>
    <row r="156" spans="9:12" s="383" customFormat="1" x14ac:dyDescent="0.25">
      <c r="I156" s="373"/>
      <c r="J156" s="373"/>
      <c r="K156" s="373"/>
      <c r="L156" s="373"/>
    </row>
    <row r="157" spans="9:12" s="383" customFormat="1" x14ac:dyDescent="0.25">
      <c r="I157" s="373"/>
      <c r="J157" s="373"/>
      <c r="K157" s="373"/>
      <c r="L157" s="373"/>
    </row>
    <row r="158" spans="9:12" s="383" customFormat="1" x14ac:dyDescent="0.25">
      <c r="I158" s="373"/>
      <c r="J158" s="373"/>
      <c r="K158" s="373"/>
      <c r="L158" s="373"/>
    </row>
    <row r="159" spans="9:12" s="383" customFormat="1" x14ac:dyDescent="0.25">
      <c r="I159" s="373"/>
      <c r="J159" s="373"/>
      <c r="K159" s="373"/>
      <c r="L159" s="373"/>
    </row>
    <row r="160" spans="9:12" s="383" customFormat="1" x14ac:dyDescent="0.25">
      <c r="I160" s="373"/>
      <c r="J160" s="373"/>
      <c r="K160" s="373"/>
      <c r="L160" s="373"/>
    </row>
    <row r="161" spans="9:12" s="383" customFormat="1" x14ac:dyDescent="0.25">
      <c r="I161" s="373"/>
      <c r="J161" s="373"/>
      <c r="K161" s="373"/>
      <c r="L161" s="373"/>
    </row>
    <row r="162" spans="9:12" s="383" customFormat="1" x14ac:dyDescent="0.25">
      <c r="I162" s="373"/>
      <c r="J162" s="373"/>
      <c r="K162" s="373"/>
      <c r="L162" s="373"/>
    </row>
    <row r="163" spans="9:12" s="383" customFormat="1" x14ac:dyDescent="0.25">
      <c r="I163" s="373"/>
      <c r="J163" s="373"/>
      <c r="K163" s="373"/>
      <c r="L163" s="373"/>
    </row>
    <row r="164" spans="9:12" s="383" customFormat="1" x14ac:dyDescent="0.25">
      <c r="I164" s="373"/>
      <c r="J164" s="373"/>
      <c r="K164" s="373"/>
      <c r="L164" s="373"/>
    </row>
    <row r="165" spans="9:12" s="383" customFormat="1" x14ac:dyDescent="0.25">
      <c r="I165" s="373"/>
      <c r="J165" s="373"/>
      <c r="K165" s="373"/>
      <c r="L165" s="373"/>
    </row>
    <row r="166" spans="9:12" s="383" customFormat="1" x14ac:dyDescent="0.25">
      <c r="I166" s="373"/>
      <c r="J166" s="373"/>
      <c r="K166" s="373"/>
      <c r="L166" s="373"/>
    </row>
    <row r="167" spans="9:12" s="383" customFormat="1" x14ac:dyDescent="0.25">
      <c r="I167" s="373"/>
      <c r="J167" s="373"/>
      <c r="K167" s="373"/>
      <c r="L167" s="373"/>
    </row>
    <row r="168" spans="9:12" s="383" customFormat="1" x14ac:dyDescent="0.25">
      <c r="I168" s="373"/>
      <c r="J168" s="373"/>
      <c r="K168" s="373"/>
      <c r="L168" s="373"/>
    </row>
    <row r="169" spans="9:12" s="383" customFormat="1" x14ac:dyDescent="0.25">
      <c r="I169" s="373"/>
      <c r="J169" s="373"/>
      <c r="K169" s="373"/>
      <c r="L169" s="373"/>
    </row>
    <row r="170" spans="9:12" s="383" customFormat="1" x14ac:dyDescent="0.25">
      <c r="I170" s="373"/>
      <c r="J170" s="373"/>
      <c r="K170" s="373"/>
      <c r="L170" s="373"/>
    </row>
    <row r="171" spans="9:12" s="383" customFormat="1" x14ac:dyDescent="0.25">
      <c r="I171" s="373"/>
      <c r="J171" s="373"/>
      <c r="K171" s="373"/>
      <c r="L171" s="373"/>
    </row>
    <row r="172" spans="9:12" s="383" customFormat="1" x14ac:dyDescent="0.25">
      <c r="I172" s="373"/>
      <c r="J172" s="373"/>
      <c r="K172" s="373"/>
      <c r="L172" s="373"/>
    </row>
    <row r="173" spans="9:12" s="383" customFormat="1" x14ac:dyDescent="0.25">
      <c r="I173" s="373"/>
      <c r="J173" s="373"/>
      <c r="K173" s="373"/>
      <c r="L173" s="373"/>
    </row>
    <row r="174" spans="9:12" s="383" customFormat="1" x14ac:dyDescent="0.25">
      <c r="I174" s="373"/>
      <c r="J174" s="373"/>
      <c r="K174" s="373"/>
      <c r="L174" s="373"/>
    </row>
    <row r="175" spans="9:12" s="383" customFormat="1" x14ac:dyDescent="0.25">
      <c r="I175" s="373"/>
      <c r="J175" s="373"/>
      <c r="K175" s="373"/>
      <c r="L175" s="373"/>
    </row>
    <row r="176" spans="9:12" s="383" customFormat="1" x14ac:dyDescent="0.25">
      <c r="I176" s="373"/>
      <c r="J176" s="373"/>
      <c r="K176" s="373"/>
      <c r="L176" s="373"/>
    </row>
    <row r="177" spans="9:12" s="383" customFormat="1" x14ac:dyDescent="0.25">
      <c r="I177" s="373"/>
      <c r="J177" s="373"/>
      <c r="K177" s="373"/>
      <c r="L177" s="373"/>
    </row>
    <row r="178" spans="9:12" s="383" customFormat="1" x14ac:dyDescent="0.25">
      <c r="I178" s="373"/>
      <c r="J178" s="373"/>
      <c r="K178" s="373"/>
      <c r="L178" s="373"/>
    </row>
    <row r="179" spans="9:12" s="383" customFormat="1" x14ac:dyDescent="0.25">
      <c r="I179" s="373"/>
      <c r="J179" s="373"/>
      <c r="K179" s="373"/>
      <c r="L179" s="373"/>
    </row>
    <row r="180" spans="9:12" s="383" customFormat="1" x14ac:dyDescent="0.25">
      <c r="I180" s="373"/>
      <c r="J180" s="373"/>
      <c r="K180" s="373"/>
      <c r="L180" s="373"/>
    </row>
    <row r="181" spans="9:12" s="383" customFormat="1" x14ac:dyDescent="0.25">
      <c r="I181" s="373"/>
      <c r="J181" s="373"/>
      <c r="K181" s="373"/>
      <c r="L181" s="373"/>
    </row>
  </sheetData>
  <sheetProtection algorithmName="SHA-512" hashValue="+/AFMvgkGNdtQOltM+Jt3Ltt+io7ZOmWTLuRwG0OZAclS2452YsufrKEjw/j3YzFO1uYbG8U5vXf3ufuoM7aNw==" saltValue="SB6xm6NLbtiy6VyyMhhlpQ==" spinCount="100000" sheet="1" objects="1" scenarios="1"/>
  <mergeCells count="2">
    <mergeCell ref="I4:K5"/>
    <mergeCell ref="J8:L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3FADBCCBA869498F7A8A95FA0630BF" ma:contentTypeVersion="13" ma:contentTypeDescription="Ein neues Dokument erstellen." ma:contentTypeScope="" ma:versionID="4c343bf9a8c988684b1eca50a4bb6e5d">
  <xsd:schema xmlns:xsd="http://www.w3.org/2001/XMLSchema" xmlns:xs="http://www.w3.org/2001/XMLSchema" xmlns:p="http://schemas.microsoft.com/office/2006/metadata/properties" xmlns:ns2="090fb118-c204-4685-a4b1-1589f068b28d" xmlns:ns3="940581a2-b8bd-44f4-8a23-cd4e074137e9" targetNamespace="http://schemas.microsoft.com/office/2006/metadata/properties" ma:root="true" ma:fieldsID="630909b54485b850c2e6ef31100a4ac6" ns2:_="" ns3:_="">
    <xsd:import namespace="090fb118-c204-4685-a4b1-1589f068b28d"/>
    <xsd:import namespace="940581a2-b8bd-44f4-8a23-cd4e07413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fb118-c204-4685-a4b1-1589f068b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602f1d45-ebbe-408b-841a-2e2aab0e95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581a2-b8bd-44f4-8a23-cd4e074137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a8ca985-351f-48c2-afc6-eda766935f19}" ma:internalName="TaxCatchAll" ma:showField="CatchAllData" ma:web="940581a2-b8bd-44f4-8a23-cd4e07413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0581a2-b8bd-44f4-8a23-cd4e074137e9" xsi:nil="true"/>
    <lcf76f155ced4ddcb4097134ff3c332f xmlns="090fb118-c204-4685-a4b1-1589f068b2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E753D4-53E6-474C-A432-A5581BDCC616}"/>
</file>

<file path=customXml/itemProps2.xml><?xml version="1.0" encoding="utf-8"?>
<ds:datastoreItem xmlns:ds="http://schemas.openxmlformats.org/officeDocument/2006/customXml" ds:itemID="{00EE8116-01C7-41E3-8D74-A176921D6EF0}"/>
</file>

<file path=customXml/itemProps3.xml><?xml version="1.0" encoding="utf-8"?>
<ds:datastoreItem xmlns:ds="http://schemas.openxmlformats.org/officeDocument/2006/customXml" ds:itemID="{A884370C-9476-4E81-88F4-616F5CB00D7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Maschinen</vt:lpstr>
      <vt:lpstr>Personal</vt:lpstr>
      <vt:lpstr>Geschäftskosten</vt:lpstr>
      <vt:lpstr>Gesamtergebnis</vt:lpstr>
      <vt:lpstr>Soz.-Vers.-Beiträge</vt:lpstr>
      <vt:lpstr>Ausdruck</vt:lpstr>
      <vt:lpstr>Ausdruck!Druckbereich</vt:lpstr>
    </vt:vector>
  </TitlesOfParts>
  <Company>LU-Verband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Wesenberg</dc:creator>
  <cp:lastModifiedBy>Dr. Martin Wesenberg</cp:lastModifiedBy>
  <cp:lastPrinted>2011-06-09T07:59:37Z</cp:lastPrinted>
  <dcterms:created xsi:type="dcterms:W3CDTF">2004-08-27T14:16:53Z</dcterms:created>
  <dcterms:modified xsi:type="dcterms:W3CDTF">2022-01-14T14:45:59Z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0x0101008A3FADBCCBA869498F7A8A95FA0630BF</vt:lpwstr>
  </property>
  <property fmtid="{D5CDD505-2E9C-101B-9397-08002B2CF9AE}" pid="3" name="Order">
    <vt:r8>29259000</vt:r8>
  </property>
</Properties>
</file>